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ilArrJu\Documents\kkk\Datos económicos\"/>
    </mc:Choice>
  </mc:AlternateContent>
  <xr:revisionPtr revIDLastSave="0" documentId="13_ncr:1_{C7C24B84-5687-46C6-98FF-1B56A1B98A7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alculadora" sheetId="9" r:id="rId1"/>
    <sheet name="Prorrateos" sheetId="4" r:id="rId2"/>
    <sheet name="Calculadora EH" sheetId="8" r:id="rId3"/>
    <sheet name="FIJAS Y MÍNIMAS" sheetId="13" r:id="rId4"/>
    <sheet name="RENTA 2023" sheetId="11" r:id="rId5"/>
    <sheet name="RENTA 2022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3" l="1"/>
  <c r="C6" i="13" s="1"/>
  <c r="H6" i="13"/>
  <c r="D6" i="13" s="1"/>
  <c r="I6" i="13"/>
  <c r="J6" i="13"/>
  <c r="G7" i="13"/>
  <c r="C7" i="13" s="1"/>
  <c r="H7" i="13"/>
  <c r="D7" i="13" s="1"/>
  <c r="I7" i="13"/>
  <c r="J7" i="13"/>
  <c r="G8" i="13"/>
  <c r="C8" i="13" s="1"/>
  <c r="H8" i="13"/>
  <c r="D8" i="13" s="1"/>
  <c r="I8" i="13"/>
  <c r="J8" i="13"/>
  <c r="G9" i="13"/>
  <c r="C9" i="13" s="1"/>
  <c r="H9" i="13"/>
  <c r="D9" i="13" s="1"/>
  <c r="I9" i="13"/>
  <c r="J9" i="13"/>
  <c r="G14" i="13"/>
  <c r="C14" i="13" s="1"/>
  <c r="H14" i="13"/>
  <c r="D14" i="13" s="1"/>
  <c r="I14" i="13"/>
  <c r="J14" i="13"/>
  <c r="G15" i="13"/>
  <c r="C15" i="13" s="1"/>
  <c r="H15" i="13"/>
  <c r="D15" i="13" s="1"/>
  <c r="I15" i="13"/>
  <c r="J15" i="13"/>
  <c r="G16" i="13"/>
  <c r="C16" i="13" s="1"/>
  <c r="H16" i="13"/>
  <c r="D16" i="13" s="1"/>
  <c r="I16" i="13"/>
  <c r="J16" i="13"/>
  <c r="C17" i="13"/>
  <c r="D17" i="13"/>
  <c r="G17" i="13"/>
  <c r="H17" i="13"/>
  <c r="I17" i="13"/>
  <c r="J17" i="13"/>
  <c r="B50" i="13"/>
  <c r="E33" i="4"/>
  <c r="D40" i="8" l="1"/>
  <c r="D32" i="8" s="1"/>
  <c r="G6" i="9" l="1"/>
  <c r="G6" i="8"/>
  <c r="C22" i="11" l="1"/>
  <c r="D22" i="11"/>
  <c r="C36" i="11"/>
  <c r="D36" i="11"/>
  <c r="C40" i="11"/>
  <c r="D40" i="11"/>
  <c r="C49" i="11"/>
  <c r="C70" i="11" s="1"/>
  <c r="D49" i="11"/>
  <c r="D70" i="11" s="1"/>
  <c r="C62" i="11"/>
  <c r="D62" i="11"/>
  <c r="C68" i="11"/>
  <c r="D68" i="11"/>
  <c r="C26" i="8" l="1"/>
  <c r="F6" i="9" l="1"/>
  <c r="G8" i="9" s="1"/>
  <c r="C26" i="9"/>
  <c r="B9" i="9"/>
  <c r="B13" i="9"/>
  <c r="C15" i="9" s="1"/>
  <c r="E21" i="9"/>
  <c r="E30" i="9"/>
  <c r="I30" i="9"/>
  <c r="A45" i="9"/>
  <c r="A46" i="9" l="1"/>
  <c r="C11" i="9"/>
  <c r="C16" i="9" s="1"/>
  <c r="B44" i="9" l="1"/>
  <c r="B46" i="9"/>
  <c r="B45" i="9"/>
  <c r="A47" i="9"/>
  <c r="C17" i="9"/>
  <c r="C18" i="9" s="1"/>
  <c r="B22" i="9" l="1"/>
  <c r="B39" i="9"/>
  <c r="C39" i="9"/>
  <c r="D39" i="9"/>
  <c r="A48" i="9"/>
  <c r="B47" i="9"/>
  <c r="B41" i="9"/>
  <c r="D47" i="9" l="1"/>
  <c r="D44" i="9"/>
  <c r="D45" i="9"/>
  <c r="D46" i="9"/>
  <c r="B23" i="9"/>
  <c r="D41" i="9"/>
  <c r="A49" i="9"/>
  <c r="B48" i="9"/>
  <c r="D48" i="9" s="1"/>
  <c r="F41" i="9"/>
  <c r="E40" i="9" l="1"/>
  <c r="D40" i="9"/>
  <c r="E48" i="9"/>
  <c r="E44" i="9"/>
  <c r="C44" i="9"/>
  <c r="E45" i="9"/>
  <c r="C45" i="9"/>
  <c r="E47" i="9"/>
  <c r="C47" i="9"/>
  <c r="A50" i="9"/>
  <c r="B49" i="9"/>
  <c r="D49" i="9" s="1"/>
  <c r="E46" i="9"/>
  <c r="C46" i="9"/>
  <c r="F34" i="9" l="1"/>
  <c r="C48" i="9"/>
  <c r="E49" i="9"/>
  <c r="D32" i="9"/>
  <c r="B50" i="9"/>
  <c r="D50" i="9" s="1"/>
  <c r="A51" i="9"/>
  <c r="E50" i="9" l="1"/>
  <c r="C49" i="9"/>
  <c r="D33" i="9"/>
  <c r="F31" i="9"/>
  <c r="B34" i="9"/>
  <c r="I36" i="9"/>
  <c r="B51" i="9"/>
  <c r="D51" i="9" s="1"/>
  <c r="A52" i="9"/>
  <c r="C50" i="9" l="1"/>
  <c r="E51" i="9"/>
  <c r="D31" i="9"/>
  <c r="B52" i="9"/>
  <c r="D52" i="9" s="1"/>
  <c r="A53" i="9"/>
  <c r="C27" i="9" l="1"/>
  <c r="E31" i="9"/>
  <c r="E33" i="9" s="1"/>
  <c r="E52" i="9"/>
  <c r="C51" i="9"/>
  <c r="A54" i="9"/>
  <c r="B53" i="9"/>
  <c r="D53" i="9" s="1"/>
  <c r="F6" i="8"/>
  <c r="G8" i="8" s="1"/>
  <c r="B9" i="8"/>
  <c r="C11" i="8" s="1"/>
  <c r="B13" i="8"/>
  <c r="C15" i="8" s="1"/>
  <c r="E21" i="8"/>
  <c r="E30" i="8"/>
  <c r="B44" i="8"/>
  <c r="B54" i="8" s="1"/>
  <c r="B51" i="8"/>
  <c r="B69" i="8"/>
  <c r="B70" i="8"/>
  <c r="C23" i="6"/>
  <c r="D23" i="6"/>
  <c r="C37" i="6"/>
  <c r="D37" i="6"/>
  <c r="C41" i="6"/>
  <c r="D41" i="6"/>
  <c r="C50" i="6"/>
  <c r="C71" i="6" s="1"/>
  <c r="D50" i="6"/>
  <c r="C63" i="6"/>
  <c r="D63" i="6"/>
  <c r="C69" i="6"/>
  <c r="D69" i="6"/>
  <c r="E32" i="9" l="1"/>
  <c r="C52" i="9"/>
  <c r="E53" i="9"/>
  <c r="B54" i="9"/>
  <c r="D54" i="9" s="1"/>
  <c r="A55" i="9"/>
  <c r="D71" i="6"/>
  <c r="F23" i="8"/>
  <c r="C16" i="8"/>
  <c r="B9" i="4"/>
  <c r="C11" i="4" s="1"/>
  <c r="B13" i="4"/>
  <c r="C15" i="4" s="1"/>
  <c r="F25" i="4"/>
  <c r="D26" i="4"/>
  <c r="E26" i="4" s="1"/>
  <c r="D27" i="4"/>
  <c r="E27" i="4" s="1"/>
  <c r="E30" i="4"/>
  <c r="H30" i="4"/>
  <c r="B33" i="9" l="1"/>
  <c r="E54" i="9"/>
  <c r="C53" i="9"/>
  <c r="B55" i="9"/>
  <c r="D55" i="9" s="1"/>
  <c r="A56" i="9"/>
  <c r="C17" i="8"/>
  <c r="C18" i="8" s="1"/>
  <c r="B22" i="8" s="1"/>
  <c r="C16" i="4"/>
  <c r="B23" i="8" l="1"/>
  <c r="C39" i="8"/>
  <c r="D41" i="8" s="1"/>
  <c r="D39" i="8"/>
  <c r="B39" i="8"/>
  <c r="E55" i="9"/>
  <c r="C54" i="9"/>
  <c r="A57" i="9"/>
  <c r="B56" i="9"/>
  <c r="D56" i="9" s="1"/>
  <c r="F41" i="8"/>
  <c r="E40" i="8" s="1"/>
  <c r="F34" i="8" s="1"/>
  <c r="F31" i="8" s="1"/>
  <c r="B41" i="8"/>
  <c r="C17" i="4"/>
  <c r="D33" i="8" l="1"/>
  <c r="D31" i="8" s="1"/>
  <c r="E31" i="8"/>
  <c r="E33" i="8" s="1"/>
  <c r="E32" i="8" s="1"/>
  <c r="B38" i="4"/>
  <c r="D41" i="4" s="1"/>
  <c r="F41" i="4" s="1"/>
  <c r="C38" i="4"/>
  <c r="D38" i="4"/>
  <c r="D40" i="4" s="1"/>
  <c r="F40" i="4" s="1"/>
  <c r="C18" i="4"/>
  <c r="B22" i="4" s="1"/>
  <c r="C55" i="9"/>
  <c r="E56" i="9"/>
  <c r="A58" i="9"/>
  <c r="B57" i="9"/>
  <c r="D57" i="9" s="1"/>
  <c r="D23" i="8"/>
  <c r="B40" i="4"/>
  <c r="B23" i="4" l="1"/>
  <c r="D43" i="4"/>
  <c r="C56" i="9"/>
  <c r="E57" i="9"/>
  <c r="D33" i="4"/>
  <c r="D32" i="4"/>
  <c r="B58" i="9"/>
  <c r="D58" i="9" s="1"/>
  <c r="A59" i="9"/>
  <c r="D22" i="8"/>
  <c r="D31" i="4" l="1"/>
  <c r="E31" i="4" s="1"/>
  <c r="E58" i="9"/>
  <c r="C57" i="9"/>
  <c r="B34" i="8"/>
  <c r="B60" i="8"/>
  <c r="B61" i="8"/>
  <c r="B66" i="8" s="1"/>
  <c r="B59" i="9"/>
  <c r="D59" i="9" s="1"/>
  <c r="A60" i="9"/>
  <c r="E22" i="8"/>
  <c r="E23" i="8" s="1"/>
  <c r="H35" i="4"/>
  <c r="E59" i="9" l="1"/>
  <c r="C58" i="9"/>
  <c r="E32" i="4"/>
  <c r="A61" i="9"/>
  <c r="B60" i="9"/>
  <c r="D60" i="9" s="1"/>
  <c r="E60" i="9" l="1"/>
  <c r="C59" i="9"/>
  <c r="C27" i="8"/>
  <c r="H31" i="4"/>
  <c r="H32" i="4" s="1"/>
  <c r="A62" i="9"/>
  <c r="B61" i="9"/>
  <c r="D61" i="9" s="1"/>
  <c r="B33" i="4"/>
  <c r="H36" i="4" s="1"/>
  <c r="C60" i="9" l="1"/>
  <c r="E61" i="9"/>
  <c r="B33" i="8"/>
  <c r="B58" i="8" s="1"/>
  <c r="B59" i="8" s="1"/>
  <c r="B52" i="8" s="1"/>
  <c r="B32" i="4"/>
  <c r="B62" i="9"/>
  <c r="D62" i="9" s="1"/>
  <c r="A63" i="9"/>
  <c r="C61" i="9" l="1"/>
  <c r="B32" i="8"/>
  <c r="E62" i="9"/>
  <c r="B63" i="9"/>
  <c r="D63" i="9" s="1"/>
  <c r="A64" i="9"/>
  <c r="E63" i="9" l="1"/>
  <c r="B45" i="8"/>
  <c r="A65" i="9"/>
  <c r="B64" i="9"/>
  <c r="D64" i="9" s="1"/>
  <c r="C62" i="9"/>
  <c r="C63" i="9" l="1"/>
  <c r="E64" i="9"/>
  <c r="B62" i="8"/>
  <c r="B46" i="8"/>
  <c r="A66" i="9"/>
  <c r="B65" i="9"/>
  <c r="D65" i="9" s="1"/>
  <c r="C64" i="9" l="1"/>
  <c r="B67" i="8"/>
  <c r="B71" i="8"/>
  <c r="B66" i="9"/>
  <c r="D66" i="9" s="1"/>
  <c r="E65" i="9"/>
  <c r="E66" i="9" l="1"/>
  <c r="C65" i="9"/>
  <c r="C66" i="9" l="1"/>
  <c r="I35" i="9"/>
  <c r="B32" i="9" l="1"/>
  <c r="I37" i="9"/>
  <c r="I31" i="9" l="1"/>
  <c r="I3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Villa Arranz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0% para menores de 35 años
3% para 35 - 64 años
5% a partir de 65 años
</t>
        </r>
        <r>
          <rPr>
            <sz val="9"/>
            <color indexed="81"/>
            <rFont val="Tahoma"/>
            <family val="2"/>
          </rPr>
          <t>(edad a 31 de diciembre del ejercicio económico de referencia)</t>
        </r>
      </text>
    </comment>
    <comment ref="D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Importe máximo de la prestación vinculada</t>
        </r>
      </text>
    </comment>
    <comment ref="F4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Porcentaje sobre gastos justificados que abona la GSS (hasta el importe máximo)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Villa Arranz</author>
  </authors>
  <commentList>
    <comment ref="D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Importe máximo de la prestación vinculada</t>
        </r>
      </text>
    </comment>
    <comment ref="F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Importe máximo de la prestación vinculada prorrateado</t>
        </r>
      </text>
    </comment>
    <comment ref="D4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Porcentaje sobre gastos justificados que abona la GSS (hasta el importe máximo)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Villa Arranz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0% para menores de 35 años
3% para 35 - 64 años
5% a partir de 65 años
</t>
        </r>
        <r>
          <rPr>
            <sz val="9"/>
            <color indexed="81"/>
            <rFont val="Tahoma"/>
            <family val="2"/>
          </rPr>
          <t>(edad a 31 de diciembre del ejercicio económico de referencia)</t>
        </r>
      </text>
    </comment>
    <comment ref="D4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máximo de la prestación vinculada</t>
        </r>
      </text>
    </comment>
    <comment ref="F4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Porcentaje sobre gastos justificados que abona la GSS (hasta el importe máximo)</t>
        </r>
      </text>
    </comment>
  </commentList>
</comments>
</file>

<file path=xl/sharedStrings.xml><?xml version="1.0" encoding="utf-8"?>
<sst xmlns="http://schemas.openxmlformats.org/spreadsheetml/2006/main" count="524" uniqueCount="303">
  <si>
    <t>Número de miembros</t>
  </si>
  <si>
    <t>R computable</t>
  </si>
  <si>
    <t>Coste del servicio</t>
  </si>
  <si>
    <t>Aportación del usuario</t>
  </si>
  <si>
    <t xml:space="preserve"> - Otros ingresos</t>
  </si>
  <si>
    <t>Ingresos / miembros</t>
  </si>
  <si>
    <t xml:space="preserve"> - Valor del patrimonio (sin computar vivienda habitual)</t>
  </si>
  <si>
    <t xml:space="preserve"> - Valor con exención general 22.000 €</t>
  </si>
  <si>
    <t>G3</t>
  </si>
  <si>
    <t>G2</t>
  </si>
  <si>
    <t>G1</t>
  </si>
  <si>
    <t>PVS</t>
  </si>
  <si>
    <t>R</t>
  </si>
  <si>
    <t>% Admón</t>
  </si>
  <si>
    <t>Renta disponible</t>
  </si>
  <si>
    <t>Gasto</t>
  </si>
  <si>
    <t>Sin dependencia</t>
  </si>
  <si>
    <t>Cuantía máxima PVS Castilla y León</t>
  </si>
  <si>
    <t>Importe mensual máximo para la R de este caso</t>
  </si>
  <si>
    <t>PRESTACIÓN VINCULADA</t>
  </si>
  <si>
    <t>Grado de dependencia</t>
  </si>
  <si>
    <t xml:space="preserve"> - Pensión de la persona interesada</t>
  </si>
  <si>
    <t>FINANCIADO POR</t>
  </si>
  <si>
    <t>Financiado por la GSS</t>
  </si>
  <si>
    <t>Calculadora de aportaciones</t>
  </si>
  <si>
    <t xml:space="preserve"> - Porcentaje aplicable al patrimonio según la edad</t>
  </si>
  <si>
    <t>Valor computable del patrimonio</t>
  </si>
  <si>
    <t>TOTAL</t>
  </si>
  <si>
    <t>Total aportación usuario</t>
  </si>
  <si>
    <r>
      <t xml:space="preserve">Desea mantener CEF con AP </t>
    </r>
    <r>
      <rPr>
        <sz val="11"/>
        <color theme="1"/>
        <rFont val="Calibri"/>
        <family val="2"/>
      </rPr>
      <t>≤ 3 horas / semanales</t>
    </r>
  </si>
  <si>
    <t>NO</t>
  </si>
  <si>
    <t>En el caso de que se reconozca la prestación vinculada, la distribución de aportaciones en función del gasto sería:</t>
  </si>
  <si>
    <t>A GUSTO EN CASA</t>
  </si>
  <si>
    <t>Nº EXPTE</t>
  </si>
  <si>
    <t>Capacidad económica</t>
  </si>
  <si>
    <t>Porcentaje de copago del usuario</t>
  </si>
  <si>
    <t>La aportación máxima del usuario será:</t>
  </si>
  <si>
    <t>Se da esa aportacion cuando el precio del servicio supere…</t>
  </si>
  <si>
    <t>Complemento de ayuda a tercera persona</t>
  </si>
  <si>
    <t>Cuantía prorrateada</t>
  </si>
  <si>
    <t>Complemento</t>
  </si>
  <si>
    <t>Nº de pagas</t>
  </si>
  <si>
    <t>Cuantía mes</t>
  </si>
  <si>
    <t>FACTURA</t>
  </si>
  <si>
    <t>Coste total del servicio</t>
  </si>
  <si>
    <t>Total factura</t>
  </si>
  <si>
    <t>Información para el usuario</t>
  </si>
  <si>
    <t>Prestación vinculada</t>
  </si>
  <si>
    <t>Complemento ATP</t>
  </si>
  <si>
    <t>Total ingresos anuales computables</t>
  </si>
  <si>
    <t>Financiado por el proyecto</t>
  </si>
  <si>
    <t>Indicador de referencia</t>
  </si>
  <si>
    <r>
      <t xml:space="preserve">Capacidad económica -                     Ejercicio </t>
    </r>
    <r>
      <rPr>
        <b/>
        <sz val="14"/>
        <color theme="1"/>
        <rFont val="Calibri"/>
        <family val="2"/>
      </rPr>
      <t>→</t>
    </r>
  </si>
  <si>
    <r>
      <t xml:space="preserve">PVS </t>
    </r>
    <r>
      <rPr>
        <sz val="8"/>
        <color theme="1"/>
        <rFont val="Calibri"/>
        <family val="2"/>
        <scheme val="minor"/>
      </rPr>
      <t xml:space="preserve">PERIODO </t>
    </r>
    <r>
      <rPr>
        <sz val="10"/>
        <color theme="1"/>
        <rFont val="Calibri"/>
        <family val="2"/>
        <scheme val="minor"/>
      </rPr>
      <t>2</t>
    </r>
  </si>
  <si>
    <r>
      <t xml:space="preserve">PVS </t>
    </r>
    <r>
      <rPr>
        <sz val="8"/>
        <color theme="1"/>
        <rFont val="Calibri"/>
        <family val="2"/>
        <scheme val="minor"/>
      </rPr>
      <t xml:space="preserve">PERIODO </t>
    </r>
    <r>
      <rPr>
        <sz val="10"/>
        <color theme="1"/>
        <rFont val="Calibri"/>
        <family val="2"/>
        <scheme val="minor"/>
      </rPr>
      <t>1</t>
    </r>
  </si>
  <si>
    <t>Finaciado por el proyecto</t>
  </si>
  <si>
    <t>Grado de dependencia PERIODO 2</t>
  </si>
  <si>
    <t>Grado de dependencia PERIODO 1</t>
  </si>
  <si>
    <t>SI</t>
  </si>
  <si>
    <t>VARIACIÓN DE GRADO</t>
  </si>
  <si>
    <t>PRIMERA FACTURA</t>
  </si>
  <si>
    <t>DIAS</t>
  </si>
  <si>
    <t>F. FIN</t>
  </si>
  <si>
    <t>F. EFECTOS</t>
  </si>
  <si>
    <r>
      <t xml:space="preserve">Para la distribución de conceptos, en el caso de personas con </t>
    </r>
    <r>
      <rPr>
        <b/>
        <sz val="11"/>
        <color theme="1"/>
        <rFont val="Calibri"/>
        <family val="2"/>
        <scheme val="minor"/>
      </rPr>
      <t>complementos de ayuda de tercera persona</t>
    </r>
    <r>
      <rPr>
        <sz val="11"/>
        <color theme="1"/>
        <rFont val="Calibri"/>
        <family val="2"/>
        <scheme val="minor"/>
      </rPr>
      <t>, debe solicitarse información a agenca@jcyl.es o intecum@jcyl.es</t>
    </r>
  </si>
  <si>
    <t>NIF</t>
  </si>
  <si>
    <t>apellidos, nombre</t>
  </si>
  <si>
    <t xml:space="preserve">  TOTAL INGRESOS COMPUTABLES</t>
  </si>
  <si>
    <t>Subsidio de ayuda a tercera persona de la LISMI (3) = 58,45 x nº pagas percibidas</t>
  </si>
  <si>
    <t>Complemento de necesidad de otra persona de la pensión de invalidez no contributiva</t>
  </si>
  <si>
    <t>Complemento de la asignación económica por hijo a cargo mayor de 18 años con un grado de minusvalía igual o superior al 75%</t>
  </si>
  <si>
    <t>Complemento de gran invalidez</t>
  </si>
  <si>
    <t>Prestaciones artículo 11 (ref. art. 31 Ley 39/2006) NO COMPUTABLES</t>
  </si>
  <si>
    <t>Prestaciones familiares de la Seguridad Social por hijo a cargo</t>
  </si>
  <si>
    <t>Clave.08.</t>
  </si>
  <si>
    <t>Pensiones exentas del régimen de clases pasivas</t>
  </si>
  <si>
    <t>Clave.07.</t>
  </si>
  <si>
    <t>Pensiones exentas de la Seguridad Social</t>
  </si>
  <si>
    <t>Clave.06.</t>
  </si>
  <si>
    <t>Casilla</t>
  </si>
  <si>
    <r>
      <t xml:space="preserve">OTRAS RENTAS </t>
    </r>
    <r>
      <rPr>
        <sz val="10"/>
        <rFont val="Arial"/>
        <family val="2"/>
      </rPr>
      <t>(declaradas por el beneficiario o conocida por otras fuentes: PNC, FAS, LISMI, pensión extranjera, pensión compensatoria...)</t>
    </r>
  </si>
  <si>
    <t>TOTAL IMPUTACIONES DE RENTA COMPUTABLES</t>
  </si>
  <si>
    <t>SOCIOS/PARTÍCIPES DE ENTIDADES EN ATRIBUCIÓN DE RENTA - PATRIMONIALES</t>
  </si>
  <si>
    <t>SOCIOS/PARTÍCIPES DE ENTIDADES EN ATRIBUCIÓN DE RENTA - ACTIVIDADES ECONÓMICAS</t>
  </si>
  <si>
    <t>SOCIOS/PARTÍCIPES DE ENTIDADES EN ATRIBUCIÓN DE RENTA - CAPITAL INMOBILIARIO</t>
  </si>
  <si>
    <t>SOCIOS/PARTÍCIPES DE ENTIDADES EN ATRIBUCIÓN DE RENTA - CAPITAL MOBILIARIO</t>
  </si>
  <si>
    <t>Rendimientos en régimen de atribución de rentas</t>
  </si>
  <si>
    <t>RENDIMIENTOS DE ACTIVIDADES ECONÓMICAS - EMPRESARIALES</t>
  </si>
  <si>
    <t>RENDIMIENTOS DE ACTIVIDADES ECONÓMICAS - AGRICULTURA, GANADERÍA Y PESCA</t>
  </si>
  <si>
    <t>RENDIMIENTOS DE ACTIVIDADES ECONÓMICAS - OTROS</t>
  </si>
  <si>
    <t>RENDIMIENTOS DE ACTIVIDADES ECONÓMICAS - PROFESIONALES</t>
  </si>
  <si>
    <t>Rendimientos de actividades económicas</t>
  </si>
  <si>
    <t>SUBTOTAL</t>
  </si>
  <si>
    <t>GANANCIAS PATRIMONIALES - APROVECHAMIENTOS FORESTALES EN MONTES PÚBLICOS</t>
  </si>
  <si>
    <t>GANANCIAS PATRIMONIALES - PREMIOS POR JUEGOS, CONCURSOS Y RIFAS</t>
  </si>
  <si>
    <t>VENTAS DE FONDOS DE INVERSIÓN - GANANCIA/PÉRDIDA</t>
  </si>
  <si>
    <t>Ganancias patrimoniales sometidas a retención (saldo positivo)</t>
  </si>
  <si>
    <t>VENTAS DE ACTIVOS FINANCIEROS Y OTROS VALORES MOBILIARIOS OTROS AA.FF.</t>
  </si>
  <si>
    <t>VENTAS DE ACTIVOS FINANCIEROS Y OTROS VALORES MOBILIARIOS LETRAS DEL TESORO</t>
  </si>
  <si>
    <t>RENDIMIENTOS DE OPERACIONES DE SEGUROS</t>
  </si>
  <si>
    <t>RENDIMIENTOS IMPLÍCITOS DEL CAPITAL MOBILIARIO</t>
  </si>
  <si>
    <r>
      <t xml:space="preserve">OTROS RENDIMIENTOS EXPLÍCITOS DEL CAPITAL MOBILIARIO - GASTOS Y REDUCCIONES APLICABLES </t>
    </r>
    <r>
      <rPr>
        <sz val="9"/>
        <color rgb="FFFF0000"/>
        <rFont val="Arial"/>
        <family val="2"/>
      </rPr>
      <t xml:space="preserve"> (RESTA)</t>
    </r>
  </si>
  <si>
    <t>OTROS RENDIMIENTOS EXPLÍCITOS DEL CAPITAL MOBILIARIO - RETRIBUCIÓN</t>
  </si>
  <si>
    <t>RENDIMIENTOS DE CUENTAS BANCARIAS</t>
  </si>
  <si>
    <t>Rendimientos del capital mobiliario (saldo positivo)</t>
  </si>
  <si>
    <t>INGRESOS DE ARRENDAMIENTOS DE INMUEBLES</t>
  </si>
  <si>
    <t>Rendimientos de capital inmobiliario</t>
  </si>
  <si>
    <r>
      <t xml:space="preserve">RENDIMIENTOS DE TRABAJO (GASTOS DEDUCIBLES)     </t>
    </r>
    <r>
      <rPr>
        <sz val="9"/>
        <color rgb="FFFF0000"/>
        <rFont val="Arial"/>
        <family val="2"/>
      </rPr>
      <t xml:space="preserve"> (RESTA)</t>
    </r>
  </si>
  <si>
    <t>RENDIMIENTOS DE TRABAJO (RETRIBUCIÓN)</t>
  </si>
  <si>
    <t>Rendimientos íntegros del trabajo</t>
  </si>
  <si>
    <t>Concepto</t>
  </si>
  <si>
    <t>Tipo de rentas</t>
  </si>
  <si>
    <t>TOTAL RENTAS SUJETAS A IRPF COMPUTABLES</t>
  </si>
  <si>
    <r>
      <t>299+300+301</t>
    </r>
    <r>
      <rPr>
        <sz val="9"/>
        <color rgb="FFFF0000"/>
        <rFont val="Arial"/>
        <family val="2"/>
      </rPr>
      <t xml:space="preserve"> (RESTA)</t>
    </r>
  </si>
  <si>
    <t>424</t>
  </si>
  <si>
    <t>420</t>
  </si>
  <si>
    <t>Rendimientos de actividades económicas de entidades en régimen de atribución de rentas</t>
  </si>
  <si>
    <t>1605</t>
  </si>
  <si>
    <t>Rendimientos del capital inmobiliario de entidades en régimen de atribución de rentas</t>
  </si>
  <si>
    <t>1604</t>
  </si>
  <si>
    <t>Rendimientos del capital mobiliario de entidades en régimen de atribución de rentas a integrar en la base imponible general</t>
  </si>
  <si>
    <t>1601</t>
  </si>
  <si>
    <t>Rendimiento neto de actividades agrícolas, ganaderas y forestales en estimación objetiva</t>
  </si>
  <si>
    <t>1553</t>
  </si>
  <si>
    <t>Rendimiento neto de actividades económicas en estimación objetiva (excepto actividades agrícolas, ganaderas y forestales)</t>
  </si>
  <si>
    <t>Rendimiento neto de actividades económicas en estimación directa</t>
  </si>
  <si>
    <t>224</t>
  </si>
  <si>
    <t>Rendimiento neto de inmuebles arrendados o cedidos a terceros</t>
  </si>
  <si>
    <t>149</t>
  </si>
  <si>
    <t>Rendimiento neto reducido del capital mobiliario a integrar en la base imponible general</t>
  </si>
  <si>
    <t>056</t>
  </si>
  <si>
    <t>Saldo positivo de rendimientos del capital mobiliario a integrar en la base imponible del ahorro</t>
  </si>
  <si>
    <t>429</t>
  </si>
  <si>
    <t>Aportaciones a patrimonio protegido de personas con discapacidad del que es titular el contribuyente</t>
  </si>
  <si>
    <r>
      <t xml:space="preserve">010 </t>
    </r>
    <r>
      <rPr>
        <sz val="9"/>
        <color rgb="FFFF0000"/>
        <rFont val="Arial"/>
        <family val="2"/>
      </rPr>
      <t>(RESTA)</t>
    </r>
  </si>
  <si>
    <t>Rendimiento neto del trabajo</t>
  </si>
  <si>
    <t>017</t>
  </si>
  <si>
    <t>Importe</t>
  </si>
  <si>
    <t>En caso de declaración conjunta, los datos se graban sólo en una de las columnas</t>
  </si>
  <si>
    <t>CÓNYUGE</t>
  </si>
  <si>
    <t>INTERESADO</t>
  </si>
  <si>
    <t>Nombre</t>
  </si>
  <si>
    <t>Ingreso mínimo vital</t>
  </si>
  <si>
    <t>Clave.29.</t>
  </si>
  <si>
    <t>Renta mínima de inserción</t>
  </si>
  <si>
    <t>Clave.28.</t>
  </si>
  <si>
    <r>
      <t xml:space="preserve">Ayudas de emergencia autonómicas o locales -  </t>
    </r>
    <r>
      <rPr>
        <sz val="9"/>
        <color rgb="FFFF0000"/>
        <rFont val="Arial"/>
        <family val="2"/>
      </rPr>
      <t>(NO COMPUTA)</t>
    </r>
  </si>
  <si>
    <t>Clave.22.</t>
  </si>
  <si>
    <t>DATOS PRESTACIONES EXENTAS DE IRPF 2022</t>
  </si>
  <si>
    <t>DATOS DE OTRAS RENTAS 2022 (que no figuren en la información procedente de la AEAT)</t>
  </si>
  <si>
    <t>DATOS SUMINISTRO DE INFORMACIÓN EN CASOS DE IMPUTACIÓN DE RENTAS 2022</t>
  </si>
  <si>
    <t>Bono cultural joven</t>
  </si>
  <si>
    <r>
      <t>0323</t>
    </r>
    <r>
      <rPr>
        <sz val="9"/>
        <color rgb="FFFF0000"/>
        <rFont val="Arial"/>
        <family val="2"/>
      </rPr>
      <t xml:space="preserve"> (RESTA)</t>
    </r>
  </si>
  <si>
    <t>Ganancias patrimoniales obtenidas por ayudas o subvenciones destinadas a la adquisición o rehabilitación de la vivienda habitual imputables a 2022</t>
  </si>
  <si>
    <t>Saldo neto positivo de ganancias y pérdidas patrimoniales imputables a 2022 a integrar en la base imponible del ahorro</t>
  </si>
  <si>
    <t>Saldo neto positivo de ganancias y pérdidas patrimoniales imputables a 2022 a integrar en la base imponible general</t>
  </si>
  <si>
    <t>DATOS DECLARACIÓN DEL IRPF 2022</t>
  </si>
  <si>
    <t>RENTAS EJERCICIO 2022</t>
  </si>
  <si>
    <t>OBSERVACIONES</t>
  </si>
  <si>
    <t>RENTA DE INSERCIÓN / SUBSIDIO DE DESEMPLEO</t>
  </si>
  <si>
    <t>SE PRORRATEA EL NÚMERO DE PAGAS (x 14 / 12)</t>
  </si>
  <si>
    <t>SUBSIDIO DE AYUDA A TERCERA PERSONA (Art. 5). MENSUAL x 14 PAGAS</t>
  </si>
  <si>
    <t>SUBSIDIO DE MOVILIDAD Y GASTOS DE TRANSPORTE</t>
  </si>
  <si>
    <t>NO REVALORIZABLE</t>
  </si>
  <si>
    <t>SUBSIDIO DE GARANTÍA DE INGRESOS MÍNIMOS</t>
  </si>
  <si>
    <t>PRESTACIONES LISMI</t>
  </si>
  <si>
    <t>210,70 / 242,31</t>
  </si>
  <si>
    <t>COMPLEMENTO ATP PNC. MENSUAL x 14 PAGAS</t>
  </si>
  <si>
    <t>PNC (COMPLEMENTO NO COMPUTABLE)</t>
  </si>
  <si>
    <t>105,35 / 121,15</t>
  </si>
  <si>
    <t>minima (25%) sin complemento</t>
  </si>
  <si>
    <t>NO SE COMPUTA EL COMPLEMENTO ATP</t>
  </si>
  <si>
    <t>316,05 / 363,46</t>
  </si>
  <si>
    <t>minima (25%) con complemento</t>
  </si>
  <si>
    <t>337,12 / 387,69</t>
  </si>
  <si>
    <t>3 p. sin complemento</t>
  </si>
  <si>
    <t>547,82 / 629,99</t>
  </si>
  <si>
    <t>3 p con complemento</t>
  </si>
  <si>
    <t>358,19 / 411,92</t>
  </si>
  <si>
    <t>2 p.sin complemento</t>
  </si>
  <si>
    <t>568,89 / 654,22</t>
  </si>
  <si>
    <t>2 p.con complemento</t>
  </si>
  <si>
    <t>421,40 / 484,61</t>
  </si>
  <si>
    <t>1 p. sin complemento</t>
  </si>
  <si>
    <t>632,10 / 726,92</t>
  </si>
  <si>
    <t>1 p. con complemento</t>
  </si>
  <si>
    <t>PENSIÓN NO CONTRIBUTIVA</t>
  </si>
  <si>
    <t xml:space="preserve">En las prestaciones de hijo a cargo con ATP que nos da la AEAT está incluido el complemento. Hay que descontar la cuantía anual de este. </t>
  </si>
  <si>
    <t xml:space="preserve">FAV FAM UN SOLO BENEFICIARIO MENOR DE 65 AÑOS </t>
  </si>
  <si>
    <t xml:space="preserve">FAV FAM UN SOLO BENEFICIARIO CON 65 AÑOS </t>
  </si>
  <si>
    <t>FAV FAM</t>
  </si>
  <si>
    <t>COMPLEMENTO ATP HIJO A CARGO. MENSUAL x 12 PAGAS</t>
  </si>
  <si>
    <t>HIJO A CARGO (COMPLEMENTO NO COMPUTABLE)</t>
  </si>
  <si>
    <t>HIJO A CARGO CON ATP</t>
  </si>
  <si>
    <t>HIJO A CARGO</t>
  </si>
  <si>
    <t>832,8+679,90</t>
  </si>
  <si>
    <t>767,5+626,60</t>
  </si>
  <si>
    <t>733,3+598,80</t>
  </si>
  <si>
    <t>ORFANDAD ABSOLUTA+HIJO A CARGO CON ATP</t>
  </si>
  <si>
    <t>832,8+453,30</t>
  </si>
  <si>
    <t>767,5+417,70</t>
  </si>
  <si>
    <t>733,3+399,20</t>
  </si>
  <si>
    <t>ORFANDAD ABSOLUTA+HIJO A CARGO</t>
  </si>
  <si>
    <t>ORFANDAD ABSOLUTA</t>
  </si>
  <si>
    <t>536,15+679,90</t>
  </si>
  <si>
    <t>449,10+626,60</t>
  </si>
  <si>
    <t>472,05+598,80</t>
  </si>
  <si>
    <t>ORFANDAD ABSOLUTA (2 BENEFICIARIOS)+HIJO A CARGO CON ATP</t>
  </si>
  <si>
    <t>536,15+453,30</t>
  </si>
  <si>
    <t>449,10+417,70</t>
  </si>
  <si>
    <t>472,05+399,20</t>
  </si>
  <si>
    <t>ORFANDAD ABSOLUTA (2 BENEFICIARIOS)+HIJO A CARGO</t>
  </si>
  <si>
    <t>ORFANDAD ABSOLUTA (2 BENEFICIARIOS)</t>
  </si>
  <si>
    <t>239,50+679,90</t>
  </si>
  <si>
    <t>220,70+626,60</t>
  </si>
  <si>
    <t>210,80+598,8</t>
  </si>
  <si>
    <t>ORFANDAD (2)+HIJO A CARGO CON ATP</t>
  </si>
  <si>
    <t>239,50+453,30</t>
  </si>
  <si>
    <t>220,70+417,70</t>
  </si>
  <si>
    <t>210,80+399,2</t>
  </si>
  <si>
    <t>ORFANDAD (2)+HIJO A CARGO SIN ATP</t>
  </si>
  <si>
    <t>ORFANDAD (2)</t>
  </si>
  <si>
    <t>PROTECCIÓN FAMILIAR</t>
  </si>
  <si>
    <t>INVALIDEZ SOVI (otros ingresos)</t>
  </si>
  <si>
    <t>INVALIDEZ SOVI (única prestación)</t>
  </si>
  <si>
    <r>
      <t xml:space="preserve">GRAN INVALIDEZ </t>
    </r>
    <r>
      <rPr>
        <b/>
        <sz val="8"/>
        <rFont val="Arial"/>
        <family val="2"/>
      </rPr>
      <t>CON CÓNYUGE NO A CARGO</t>
    </r>
  </si>
  <si>
    <t>NO SE COMPUTA EL COMPLEMENTO GI (VER %)</t>
  </si>
  <si>
    <r>
      <t xml:space="preserve">GRAN INVALIDEZ </t>
    </r>
    <r>
      <rPr>
        <b/>
        <sz val="8"/>
        <rFont val="Arial"/>
        <family val="2"/>
      </rPr>
      <t>CON CÓNYUGE A CARGO</t>
    </r>
  </si>
  <si>
    <r>
      <rPr>
        <b/>
        <sz val="9"/>
        <rFont val="Arial"/>
        <family val="2"/>
      </rPr>
      <t>GRAN INVALIDEZ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SIN CÓNYUGE A CARGO</t>
    </r>
  </si>
  <si>
    <r>
      <t xml:space="preserve">JUBILACIÓN </t>
    </r>
    <r>
      <rPr>
        <b/>
        <sz val="8"/>
        <rFont val="Arial"/>
        <family val="2"/>
      </rPr>
      <t>CON CÓNYUGE A CARGO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menor 65 años</t>
    </r>
  </si>
  <si>
    <r>
      <t>JUBILACIÓN</t>
    </r>
    <r>
      <rPr>
        <b/>
        <sz val="8"/>
        <rFont val="Arial"/>
        <family val="2"/>
      </rPr>
      <t xml:space="preserve"> SIN CÓNYUGE A CARGO menor 65 años</t>
    </r>
  </si>
  <si>
    <r>
      <rPr>
        <b/>
        <sz val="9"/>
        <rFont val="Arial"/>
        <family val="2"/>
      </rPr>
      <t xml:space="preserve">JUBILACIÓN </t>
    </r>
    <r>
      <rPr>
        <b/>
        <sz val="8"/>
        <rFont val="Arial"/>
        <family val="2"/>
      </rPr>
      <t xml:space="preserve"> CON CÓNYUGE NO A CARGO menor 65 años</t>
    </r>
  </si>
  <si>
    <r>
      <t xml:space="preserve">JUBILACIÓN / INCAPACIDAD </t>
    </r>
    <r>
      <rPr>
        <b/>
        <sz val="8"/>
        <rFont val="Arial"/>
        <family val="2"/>
      </rPr>
      <t>CON CÓNYUGE A CARGO con 65 años</t>
    </r>
  </si>
  <si>
    <r>
      <t xml:space="preserve">JUBILACIÓN / INCAPACIDAD </t>
    </r>
    <r>
      <rPr>
        <b/>
        <sz val="8"/>
        <rFont val="Arial"/>
        <family val="2"/>
      </rPr>
      <t>SIN CÓNYUGE A CARGO con 65 años</t>
    </r>
  </si>
  <si>
    <r>
      <rPr>
        <b/>
        <sz val="9"/>
        <rFont val="Arial"/>
        <family val="2"/>
      </rPr>
      <t>JUBILACIÓN / INCAPACIDAD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CON CÓNYUGE NO A CARGO con 65 años</t>
    </r>
  </si>
  <si>
    <t>Menor de 60 años</t>
  </si>
  <si>
    <t>Entre 60 y 64 años</t>
  </si>
  <si>
    <t>VIUDEDAD+CARGAS FAMILIARES</t>
  </si>
  <si>
    <t>VIUDEDAD</t>
  </si>
  <si>
    <t>PRESTACIÓN</t>
  </si>
  <si>
    <t>CUANTÍAS FIJAS Y MÍNIMAS (AEAT)</t>
  </si>
  <si>
    <t xml:space="preserve"> - Al proveedor (saldo neto)</t>
  </si>
  <si>
    <t xml:space="preserve"> - Nómina del EH</t>
  </si>
  <si>
    <t xml:space="preserve"> - Seguridad Social del EH</t>
  </si>
  <si>
    <t>El usuario debe abonar</t>
  </si>
  <si>
    <t xml:space="preserve"> - Del proveedor (saldo neto)</t>
  </si>
  <si>
    <t xml:space="preserve"> - De la GSS (abono prestación vinculada)</t>
  </si>
  <si>
    <t>El usuario recibe</t>
  </si>
  <si>
    <t>Movimiento neto</t>
  </si>
  <si>
    <t>Aportación total a cargo del Proyecto</t>
  </si>
  <si>
    <t>Aportación del usuario al coste del EH</t>
  </si>
  <si>
    <t>Aportación del usuario al coste de los servicios</t>
  </si>
  <si>
    <t>El coste se financia del siguiente modo:</t>
  </si>
  <si>
    <t>COSTE TOTAL DE LA ATENCIÓN (A + EH)</t>
  </si>
  <si>
    <t>Coste mensual (EH)</t>
  </si>
  <si>
    <t>EH Nómina</t>
  </si>
  <si>
    <t>EH Seguridad Social</t>
  </si>
  <si>
    <t>EMPLEADO/A DE HOGAR</t>
  </si>
  <si>
    <t>Coste total del servicio (A)</t>
  </si>
  <si>
    <r>
      <rPr>
        <b/>
        <sz val="9"/>
        <color theme="1"/>
        <rFont val="Calibri"/>
        <family val="2"/>
        <scheme val="minor"/>
      </rPr>
      <t>Nota 1</t>
    </r>
    <r>
      <rPr>
        <sz val="9"/>
        <color theme="1"/>
        <rFont val="Calibri"/>
        <family val="2"/>
        <scheme val="minor"/>
      </rPr>
      <t>: es compatible la AP hasta 30 horas y el SAD por encima de 37 h/mes pero, en este caso, la AP se financia solo a través del proyecto (la PVS no estaría disponible).</t>
    </r>
  </si>
  <si>
    <t>PVS + AGENCA</t>
  </si>
  <si>
    <t>877,60+705,80</t>
  </si>
  <si>
    <t>877,60+470,60</t>
  </si>
  <si>
    <t>565,00+705,80</t>
  </si>
  <si>
    <t>565,00+470,60</t>
  </si>
  <si>
    <t>252,40+705,80</t>
  </si>
  <si>
    <t>252,40+470,60</t>
  </si>
  <si>
    <t>Apellidos, nombre</t>
  </si>
  <si>
    <r>
      <t xml:space="preserve">PVS </t>
    </r>
    <r>
      <rPr>
        <b/>
        <sz val="10"/>
        <color theme="1"/>
        <rFont val="Calibri"/>
        <family val="2"/>
        <scheme val="minor"/>
      </rPr>
      <t>prorrateado</t>
    </r>
    <r>
      <rPr>
        <b/>
        <sz val="11"/>
        <color theme="1"/>
        <rFont val="Calibri"/>
        <family val="2"/>
        <scheme val="minor"/>
      </rPr>
      <t xml:space="preserve"> 1</t>
    </r>
  </si>
  <si>
    <r>
      <t xml:space="preserve">PVS </t>
    </r>
    <r>
      <rPr>
        <b/>
        <sz val="10"/>
        <color theme="1"/>
        <rFont val="Calibri"/>
        <family val="2"/>
        <scheme val="minor"/>
      </rPr>
      <t>prorrateado</t>
    </r>
    <r>
      <rPr>
        <b/>
        <sz val="11"/>
        <color theme="1"/>
        <rFont val="Calibri"/>
        <family val="2"/>
        <scheme val="minor"/>
      </rPr>
      <t xml:space="preserve"> 2</t>
    </r>
  </si>
  <si>
    <t>DATOS PRESTACIONES EXENTAS DE IRPF 2023</t>
  </si>
  <si>
    <t>DATOS DE OTRAS RENTAS 2023 (que no figuren en la información procedente de la AEAT)</t>
  </si>
  <si>
    <t>DATOS SUMINISTRO DE INFORMACIÓN EN CASOS DE IMPUTACIÓN DE RENTAS 2023</t>
  </si>
  <si>
    <r>
      <t>0299+0300+0301</t>
    </r>
    <r>
      <rPr>
        <sz val="9"/>
        <color rgb="FFFF0000"/>
        <rFont val="Arial"/>
        <family val="2"/>
      </rPr>
      <t xml:space="preserve"> (RESTA)</t>
    </r>
  </si>
  <si>
    <t>0460</t>
  </si>
  <si>
    <t>0420</t>
  </si>
  <si>
    <t>0224</t>
  </si>
  <si>
    <t>0149</t>
  </si>
  <si>
    <t>0056</t>
  </si>
  <si>
    <r>
      <t xml:space="preserve">0010 </t>
    </r>
    <r>
      <rPr>
        <sz val="9"/>
        <color rgb="FFFF0000"/>
        <rFont val="Arial"/>
        <family val="2"/>
      </rPr>
      <t>(RESTA)</t>
    </r>
  </si>
  <si>
    <t>0017</t>
  </si>
  <si>
    <t>DATOS DECLARACIÓN DEL IRPF 2023</t>
  </si>
  <si>
    <t>RENTAS EJERCICIO 2023</t>
  </si>
  <si>
    <t>Cuantía mes 2025</t>
  </si>
  <si>
    <t>Mínimo --&gt;</t>
  </si>
  <si>
    <r>
      <t xml:space="preserve">Desea mantener SAD con intensidad superior a 37 h/mes </t>
    </r>
    <r>
      <rPr>
        <b/>
        <sz val="11"/>
        <color theme="1"/>
        <rFont val="Calibri"/>
        <family val="2"/>
        <scheme val="minor"/>
      </rPr>
      <t xml:space="preserve">(nota 1) </t>
    </r>
    <r>
      <rPr>
        <sz val="11"/>
        <color theme="1"/>
        <rFont val="Calibri"/>
        <family val="2"/>
        <scheme val="minor"/>
      </rPr>
      <t>o CD público, o PVS para CD/SPAP  privado</t>
    </r>
  </si>
  <si>
    <t>267,50+725,60</t>
  </si>
  <si>
    <t>267,50+483,80</t>
  </si>
  <si>
    <t>930,00+725,60</t>
  </si>
  <si>
    <t>930,00+483,80</t>
  </si>
  <si>
    <t>598,75+725,60</t>
  </si>
  <si>
    <t>598,75+483,80</t>
  </si>
  <si>
    <t>La cuantía minorada se percibe cuando es compatible con otra prestación, como viudedad</t>
  </si>
  <si>
    <t>BRECHA + 4 HIJO</t>
  </si>
  <si>
    <t>BRECHA + 3 HIJO</t>
  </si>
  <si>
    <t>BRECHA + 2 HIJO</t>
  </si>
  <si>
    <t>BRECHA + 1 HIJO</t>
  </si>
  <si>
    <t>BRECHA GÉNERO x HIJO</t>
  </si>
  <si>
    <t>MENSUAL</t>
  </si>
  <si>
    <t>ANUAL</t>
  </si>
  <si>
    <r>
      <t xml:space="preserve">Ha marcado que esta persona tiene otras prestaciones esenciales, y en ellas se ha de aplicar el complemento. En ese caso, para el servicio de AP, </t>
    </r>
    <r>
      <rPr>
        <b/>
        <sz val="14"/>
        <color theme="0"/>
        <rFont val="Calibri"/>
        <family val="2"/>
        <scheme val="minor"/>
      </rPr>
      <t>NO SE APLICA EL COMPLEMENTO</t>
    </r>
    <r>
      <rPr>
        <sz val="11"/>
        <color theme="0"/>
        <rFont val="Calibri"/>
        <family val="2"/>
        <scheme val="minor"/>
      </rPr>
      <t xml:space="preserve">. Debe corregir las celdas B26 o B27 si no tiene otras prestaciones, o eliminar el complemento de la celda E6. Si tiene dudas, </t>
    </r>
    <r>
      <rPr>
        <b/>
        <sz val="11"/>
        <color theme="0"/>
        <rFont val="Calibri"/>
        <family val="2"/>
        <scheme val="minor"/>
      </rPr>
      <t>consulte con agenca@jcyl.es</t>
    </r>
  </si>
  <si>
    <r>
      <t xml:space="preserve">Ha marcado que esta persona tiene otras prestaciones esenciales, y en ellas se ha de aplicar el complemento. En ese caso, para el servicio de AP, </t>
    </r>
    <r>
      <rPr>
        <b/>
        <sz val="14"/>
        <color theme="0"/>
        <rFont val="Calibri"/>
        <family val="2"/>
        <scheme val="minor"/>
      </rPr>
      <t>NO SE APLICA COMPLEMENTO</t>
    </r>
    <r>
      <rPr>
        <sz val="11"/>
        <color theme="0"/>
        <rFont val="Calibri"/>
        <family val="2"/>
        <scheme val="minor"/>
      </rPr>
      <t xml:space="preserve">. Debe corregir las celdas B26 o B27 si no tiene otras prestaciones, o eliminar el complemento de la celda E6. Si tiene dudas, </t>
    </r>
    <r>
      <rPr>
        <b/>
        <sz val="11"/>
        <color theme="0"/>
        <rFont val="Calibri"/>
        <family val="2"/>
        <scheme val="minor"/>
      </rPr>
      <t>consulte con agenca@jcyl.es</t>
    </r>
  </si>
  <si>
    <t>v1 - 08/01/2025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</si>
</sst>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-* #,##0.00\ [$€]_-;\-* #,##0.00\ [$€]_-;_-* &quot;-&quot;??\ [$€]_-;_-@_-"/>
    <numFmt numFmtId="166" formatCode="_-* #,##0_-;\-* #,##0_-;_-* &quot;-&quot;??_-;_-@_-"/>
    <numFmt numFmtId="167" formatCode="_-* #,##0.00\ [$€-42D]_-;\-* #,##0.00\ [$€-42D]_-;_-* &quot;-&quot;??\ [$€-42D]_-;_-@_-"/>
    <numFmt numFmtId="168" formatCode="_-* #,##0.00\ [$€-81D]_-;\-* #,##0.00\ [$€-81D]_-;_-* &quot;-&quot;??\ [$€-81D]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12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1" xfId="0" applyBorder="1"/>
    <xf numFmtId="164" fontId="0" fillId="0" borderId="0" xfId="1" applyFont="1"/>
    <xf numFmtId="0" fontId="0" fillId="0" borderId="4" xfId="0" applyBorder="1"/>
    <xf numFmtId="0" fontId="0" fillId="0" borderId="7" xfId="0" applyBorder="1"/>
    <xf numFmtId="0" fontId="2" fillId="0" borderId="2" xfId="0" applyFont="1" applyBorder="1"/>
    <xf numFmtId="4" fontId="0" fillId="0" borderId="8" xfId="0" applyNumberFormat="1" applyBorder="1"/>
    <xf numFmtId="4" fontId="2" fillId="0" borderId="9" xfId="0" applyNumberFormat="1" applyFont="1" applyBorder="1"/>
    <xf numFmtId="9" fontId="0" fillId="0" borderId="10" xfId="2" applyFont="1" applyBorder="1"/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2" fillId="0" borderId="16" xfId="0" applyFont="1" applyBorder="1"/>
    <xf numFmtId="9" fontId="0" fillId="3" borderId="9" xfId="2" applyFont="1" applyFill="1" applyBorder="1"/>
    <xf numFmtId="9" fontId="0" fillId="3" borderId="3" xfId="2" applyFont="1" applyFill="1" applyBorder="1"/>
    <xf numFmtId="44" fontId="0" fillId="3" borderId="4" xfId="0" applyNumberFormat="1" applyFill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15" xfId="0" applyNumberFormat="1" applyBorder="1"/>
    <xf numFmtId="4" fontId="2" fillId="3" borderId="0" xfId="0" applyNumberFormat="1" applyFont="1" applyFill="1"/>
    <xf numFmtId="0" fontId="2" fillId="0" borderId="4" xfId="0" applyFont="1" applyBorder="1"/>
    <xf numFmtId="0" fontId="2" fillId="5" borderId="5" xfId="0" applyFont="1" applyFill="1" applyBorder="1"/>
    <xf numFmtId="0" fontId="0" fillId="5" borderId="5" xfId="0" applyFill="1" applyBorder="1"/>
    <xf numFmtId="4" fontId="2" fillId="5" borderId="5" xfId="0" applyNumberFormat="1" applyFont="1" applyFill="1" applyBorder="1"/>
    <xf numFmtId="0" fontId="2" fillId="5" borderId="6" xfId="0" applyFont="1" applyFill="1" applyBorder="1"/>
    <xf numFmtId="4" fontId="0" fillId="5" borderId="6" xfId="0" applyNumberFormat="1" applyFill="1" applyBorder="1"/>
    <xf numFmtId="4" fontId="2" fillId="5" borderId="6" xfId="0" applyNumberFormat="1" applyFont="1" applyFill="1" applyBorder="1"/>
    <xf numFmtId="4" fontId="0" fillId="3" borderId="9" xfId="0" applyNumberFormat="1" applyFill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 inden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0" fillId="0" borderId="20" xfId="0" applyNumberFormat="1" applyBorder="1"/>
    <xf numFmtId="3" fontId="0" fillId="0" borderId="13" xfId="0" applyNumberFormat="1" applyBorder="1"/>
    <xf numFmtId="3" fontId="0" fillId="0" borderId="21" xfId="0" applyNumberFormat="1" applyBorder="1"/>
    <xf numFmtId="3" fontId="0" fillId="0" borderId="15" xfId="0" applyNumberFormat="1" applyBorder="1"/>
    <xf numFmtId="3" fontId="0" fillId="7" borderId="23" xfId="0" applyNumberFormat="1" applyFill="1" applyBorder="1"/>
    <xf numFmtId="3" fontId="0" fillId="7" borderId="24" xfId="0" applyNumberFormat="1" applyFill="1" applyBorder="1"/>
    <xf numFmtId="0" fontId="0" fillId="0" borderId="17" xfId="0" applyBorder="1" applyAlignment="1">
      <alignment horizontal="right"/>
    </xf>
    <xf numFmtId="0" fontId="4" fillId="6" borderId="1" xfId="0" applyFont="1" applyFill="1" applyBorder="1" applyAlignment="1" applyProtection="1">
      <alignment horizontal="center" vertical="center"/>
      <protection locked="0"/>
    </xf>
    <xf numFmtId="4" fontId="0" fillId="4" borderId="0" xfId="0" applyNumberFormat="1" applyFill="1" applyProtection="1">
      <protection locked="0"/>
    </xf>
    <xf numFmtId="4" fontId="0" fillId="4" borderId="1" xfId="0" applyNumberFormat="1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9" fontId="0" fillId="4" borderId="0" xfId="2" applyFont="1" applyFill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44" fontId="2" fillId="4" borderId="4" xfId="0" applyNumberFormat="1" applyFont="1" applyFill="1" applyBorder="1" applyProtection="1">
      <protection locked="0"/>
    </xf>
    <xf numFmtId="0" fontId="2" fillId="0" borderId="26" xfId="0" applyFont="1" applyBorder="1" applyAlignment="1">
      <alignment horizontal="right"/>
    </xf>
    <xf numFmtId="3" fontId="0" fillId="0" borderId="12" xfId="0" applyNumberFormat="1" applyBorder="1"/>
    <xf numFmtId="3" fontId="0" fillId="0" borderId="7" xfId="0" applyNumberFormat="1" applyBorder="1"/>
    <xf numFmtId="0" fontId="2" fillId="0" borderId="4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3" fillId="0" borderId="18" xfId="0" applyFont="1" applyBorder="1"/>
    <xf numFmtId="0" fontId="3" fillId="4" borderId="25" xfId="0" applyFont="1" applyFill="1" applyBorder="1" applyProtection="1">
      <protection locked="0"/>
    </xf>
    <xf numFmtId="0" fontId="10" fillId="0" borderId="0" xfId="0" applyFont="1" applyAlignment="1">
      <alignment vertical="top"/>
    </xf>
    <xf numFmtId="0" fontId="4" fillId="4" borderId="0" xfId="0" applyFont="1" applyFill="1" applyProtection="1">
      <protection locked="0"/>
    </xf>
    <xf numFmtId="0" fontId="12" fillId="0" borderId="0" xfId="0" applyFont="1"/>
    <xf numFmtId="2" fontId="13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14" fillId="8" borderId="4" xfId="0" applyFont="1" applyFill="1" applyBorder="1"/>
    <xf numFmtId="0" fontId="2" fillId="0" borderId="18" xfId="0" applyFont="1" applyBorder="1" applyAlignment="1">
      <alignment horizontal="right"/>
    </xf>
    <xf numFmtId="44" fontId="0" fillId="9" borderId="4" xfId="0" applyNumberFormat="1" applyFill="1" applyBorder="1"/>
    <xf numFmtId="0" fontId="0" fillId="9" borderId="4" xfId="0" applyFill="1" applyBorder="1"/>
    <xf numFmtId="2" fontId="9" fillId="3" borderId="4" xfId="0" applyNumberFormat="1" applyFont="1" applyFill="1" applyBorder="1"/>
    <xf numFmtId="0" fontId="9" fillId="3" borderId="4" xfId="0" applyFont="1" applyFill="1" applyBorder="1"/>
    <xf numFmtId="0" fontId="17" fillId="8" borderId="4" xfId="0" applyFont="1" applyFill="1" applyBorder="1"/>
    <xf numFmtId="1" fontId="13" fillId="0" borderId="0" xfId="0" applyNumberFormat="1" applyFont="1" applyProtection="1">
      <protection locked="0"/>
    </xf>
    <xf numFmtId="0" fontId="18" fillId="0" borderId="0" xfId="0" applyFont="1"/>
    <xf numFmtId="0" fontId="9" fillId="4" borderId="4" xfId="0" applyFont="1" applyFill="1" applyBorder="1" applyProtection="1">
      <protection locked="0"/>
    </xf>
    <xf numFmtId="0" fontId="2" fillId="10" borderId="1" xfId="0" applyFont="1" applyFill="1" applyBorder="1"/>
    <xf numFmtId="0" fontId="0" fillId="10" borderId="1" xfId="0" applyFill="1" applyBorder="1"/>
    <xf numFmtId="0" fontId="0" fillId="10" borderId="0" xfId="0" applyFill="1"/>
    <xf numFmtId="44" fontId="0" fillId="10" borderId="0" xfId="0" applyNumberFormat="1" applyFill="1"/>
    <xf numFmtId="44" fontId="0" fillId="10" borderId="1" xfId="0" applyNumberFormat="1" applyFill="1" applyBorder="1"/>
    <xf numFmtId="0" fontId="2" fillId="10" borderId="0" xfId="0" applyFont="1" applyFill="1"/>
    <xf numFmtId="44" fontId="2" fillId="10" borderId="0" xfId="0" applyNumberFormat="1" applyFont="1" applyFill="1"/>
    <xf numFmtId="44" fontId="2" fillId="3" borderId="4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4" fontId="16" fillId="0" borderId="0" xfId="0" applyNumberFormat="1" applyFont="1"/>
    <xf numFmtId="0" fontId="16" fillId="0" borderId="0" xfId="0" applyFont="1"/>
    <xf numFmtId="44" fontId="15" fillId="0" borderId="0" xfId="0" applyNumberFormat="1" applyFont="1"/>
    <xf numFmtId="0" fontId="0" fillId="4" borderId="0" xfId="0" applyFill="1" applyProtection="1">
      <protection locked="0"/>
    </xf>
    <xf numFmtId="0" fontId="0" fillId="4" borderId="1" xfId="0" applyFill="1" applyBorder="1" applyProtection="1">
      <protection locked="0"/>
    </xf>
    <xf numFmtId="44" fontId="0" fillId="0" borderId="0" xfId="0" applyNumberFormat="1"/>
    <xf numFmtId="0" fontId="20" fillId="11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7" xfId="0" applyFont="1" applyBorder="1"/>
    <xf numFmtId="0" fontId="3" fillId="0" borderId="0" xfId="0" applyFont="1"/>
    <xf numFmtId="0" fontId="19" fillId="11" borderId="4" xfId="0" applyFont="1" applyFill="1" applyBorder="1" applyAlignment="1">
      <alignment horizontal="left" vertical="center"/>
    </xf>
    <xf numFmtId="166" fontId="0" fillId="0" borderId="0" xfId="5" applyNumberFormat="1" applyFont="1"/>
    <xf numFmtId="9" fontId="0" fillId="3" borderId="9" xfId="2" applyFont="1" applyFill="1" applyBorder="1" applyProtection="1"/>
    <xf numFmtId="0" fontId="0" fillId="0" borderId="2" xfId="0" applyBorder="1"/>
    <xf numFmtId="4" fontId="0" fillId="0" borderId="10" xfId="0" applyNumberFormat="1" applyBorder="1"/>
    <xf numFmtId="164" fontId="0" fillId="0" borderId="0" xfId="1" applyFont="1" applyProtection="1"/>
    <xf numFmtId="43" fontId="0" fillId="0" borderId="13" xfId="5" applyFont="1" applyBorder="1"/>
    <xf numFmtId="9" fontId="0" fillId="0" borderId="0" xfId="2" applyFont="1" applyAlignment="1" applyProtection="1">
      <alignment horizontal="center"/>
    </xf>
    <xf numFmtId="0" fontId="2" fillId="0" borderId="4" xfId="0" applyFont="1" applyBorder="1" applyAlignment="1">
      <alignment horizontal="right"/>
    </xf>
    <xf numFmtId="2" fontId="16" fillId="0" borderId="4" xfId="0" applyNumberFormat="1" applyFont="1" applyBorder="1" applyAlignment="1">
      <alignment horizontal="center"/>
    </xf>
    <xf numFmtId="0" fontId="0" fillId="0" borderId="18" xfId="0" applyBorder="1"/>
    <xf numFmtId="0" fontId="26" fillId="0" borderId="3" xfId="0" applyFont="1" applyBorder="1" applyAlignment="1">
      <alignment horizontal="center"/>
    </xf>
    <xf numFmtId="14" fontId="26" fillId="0" borderId="3" xfId="0" applyNumberFormat="1" applyFont="1" applyBorder="1" applyAlignment="1">
      <alignment horizontal="center"/>
    </xf>
    <xf numFmtId="14" fontId="28" fillId="4" borderId="3" xfId="0" applyNumberFormat="1" applyFont="1" applyFill="1" applyBorder="1" applyProtection="1">
      <protection locked="0"/>
    </xf>
    <xf numFmtId="0" fontId="28" fillId="4" borderId="3" xfId="0" applyFont="1" applyFill="1" applyBorder="1" applyProtection="1">
      <protection locked="0"/>
    </xf>
    <xf numFmtId="0" fontId="26" fillId="0" borderId="3" xfId="0" applyFont="1" applyBorder="1"/>
    <xf numFmtId="0" fontId="22" fillId="0" borderId="13" xfId="0" applyFont="1" applyBorder="1"/>
    <xf numFmtId="9" fontId="0" fillId="0" borderId="10" xfId="2" applyFont="1" applyBorder="1" applyProtection="1"/>
    <xf numFmtId="0" fontId="8" fillId="0" borderId="0" xfId="3"/>
    <xf numFmtId="0" fontId="8" fillId="0" borderId="0" xfId="3" applyAlignment="1">
      <alignment vertical="center"/>
    </xf>
    <xf numFmtId="167" fontId="29" fillId="0" borderId="4" xfId="3" applyNumberFormat="1" applyFont="1" applyBorder="1" applyAlignment="1">
      <alignment vertical="center"/>
    </xf>
    <xf numFmtId="0" fontId="8" fillId="0" borderId="5" xfId="3" applyBorder="1" applyAlignment="1">
      <alignment vertical="center"/>
    </xf>
    <xf numFmtId="0" fontId="30" fillId="0" borderId="18" xfId="3" applyFont="1" applyBorder="1" applyAlignment="1">
      <alignment vertical="center"/>
    </xf>
    <xf numFmtId="165" fontId="29" fillId="0" borderId="0" xfId="4" applyFont="1" applyProtection="1"/>
    <xf numFmtId="165" fontId="31" fillId="13" borderId="1" xfId="4" applyFont="1" applyFill="1" applyBorder="1" applyProtection="1">
      <protection locked="0"/>
    </xf>
    <xf numFmtId="0" fontId="9" fillId="13" borderId="1" xfId="3" applyFont="1" applyFill="1" applyBorder="1"/>
    <xf numFmtId="0" fontId="8" fillId="0" borderId="1" xfId="3" applyBorder="1"/>
    <xf numFmtId="165" fontId="31" fillId="13" borderId="31" xfId="4" applyFont="1" applyFill="1" applyBorder="1" applyProtection="1">
      <protection locked="0"/>
    </xf>
    <xf numFmtId="0" fontId="9" fillId="13" borderId="32" xfId="3" applyFont="1" applyFill="1" applyBorder="1" applyAlignment="1">
      <alignment wrapText="1"/>
    </xf>
    <xf numFmtId="0" fontId="31" fillId="0" borderId="0" xfId="3" applyFont="1"/>
    <xf numFmtId="165" fontId="31" fillId="13" borderId="0" xfId="4" applyFont="1" applyFill="1" applyBorder="1" applyProtection="1">
      <protection locked="0"/>
    </xf>
    <xf numFmtId="0" fontId="9" fillId="13" borderId="32" xfId="3" applyFont="1" applyFill="1" applyBorder="1"/>
    <xf numFmtId="165" fontId="8" fillId="0" borderId="0" xfId="4" applyFont="1" applyFill="1" applyBorder="1" applyProtection="1"/>
    <xf numFmtId="0" fontId="9" fillId="0" borderId="0" xfId="3" applyFont="1"/>
    <xf numFmtId="49" fontId="9" fillId="0" borderId="0" xfId="3" applyNumberFormat="1" applyFont="1" applyAlignment="1">
      <alignment horizontal="center"/>
    </xf>
    <xf numFmtId="165" fontId="8" fillId="13" borderId="31" xfId="4" applyFont="1" applyFill="1" applyBorder="1" applyProtection="1">
      <protection locked="0"/>
    </xf>
    <xf numFmtId="0" fontId="9" fillId="0" borderId="31" xfId="3" applyFont="1" applyBorder="1"/>
    <xf numFmtId="49" fontId="9" fillId="0" borderId="31" xfId="3" applyNumberFormat="1" applyFont="1" applyBorder="1" applyAlignment="1">
      <alignment horizontal="center"/>
    </xf>
    <xf numFmtId="0" fontId="9" fillId="0" borderId="32" xfId="3" applyFont="1" applyBorder="1" applyAlignment="1">
      <alignment wrapText="1"/>
    </xf>
    <xf numFmtId="165" fontId="8" fillId="13" borderId="32" xfId="4" applyFont="1" applyFill="1" applyBorder="1" applyProtection="1">
      <protection locked="0"/>
    </xf>
    <xf numFmtId="0" fontId="9" fillId="0" borderId="32" xfId="3" applyFont="1" applyBorder="1"/>
    <xf numFmtId="49" fontId="9" fillId="0" borderId="32" xfId="3" applyNumberFormat="1" applyFont="1" applyBorder="1" applyAlignment="1">
      <alignment horizontal="center"/>
    </xf>
    <xf numFmtId="0" fontId="29" fillId="0" borderId="0" xfId="3" applyFont="1"/>
    <xf numFmtId="0" fontId="30" fillId="0" borderId="0" xfId="3" applyFont="1"/>
    <xf numFmtId="165" fontId="8" fillId="13" borderId="0" xfId="4" applyFill="1" applyBorder="1" applyProtection="1">
      <protection locked="0"/>
    </xf>
    <xf numFmtId="168" fontId="8" fillId="0" borderId="0" xfId="3" applyNumberFormat="1"/>
    <xf numFmtId="165" fontId="8" fillId="13" borderId="33" xfId="4" applyFill="1" applyBorder="1" applyProtection="1">
      <protection locked="0"/>
    </xf>
    <xf numFmtId="0" fontId="9" fillId="0" borderId="34" xfId="3" applyFont="1" applyBorder="1"/>
    <xf numFmtId="165" fontId="8" fillId="13" borderId="32" xfId="4" applyFill="1" applyBorder="1" applyProtection="1">
      <protection locked="0"/>
    </xf>
    <xf numFmtId="165" fontId="8" fillId="13" borderId="31" xfId="4" applyFill="1" applyBorder="1" applyProtection="1">
      <protection locked="0"/>
    </xf>
    <xf numFmtId="0" fontId="9" fillId="0" borderId="36" xfId="3" applyFont="1" applyBorder="1"/>
    <xf numFmtId="165" fontId="29" fillId="0" borderId="0" xfId="3" applyNumberFormat="1" applyFont="1"/>
    <xf numFmtId="165" fontId="33" fillId="12" borderId="0" xfId="6" applyNumberFormat="1" applyFont="1" applyBorder="1" applyAlignment="1" applyProtection="1">
      <alignment horizontal="right"/>
    </xf>
    <xf numFmtId="0" fontId="33" fillId="12" borderId="0" xfId="6" applyFont="1" applyBorder="1" applyAlignment="1" applyProtection="1">
      <alignment horizontal="right"/>
    </xf>
    <xf numFmtId="0" fontId="32" fillId="12" borderId="37" xfId="6" applyBorder="1" applyAlignment="1" applyProtection="1">
      <alignment horizontal="left" vertical="center"/>
    </xf>
    <xf numFmtId="0" fontId="32" fillId="12" borderId="37" xfId="6" applyBorder="1" applyAlignment="1" applyProtection="1">
      <alignment horizontal="left" vertical="center" wrapText="1"/>
    </xf>
    <xf numFmtId="165" fontId="8" fillId="13" borderId="5" xfId="4" applyFill="1" applyBorder="1" applyProtection="1">
      <protection locked="0"/>
    </xf>
    <xf numFmtId="0" fontId="9" fillId="0" borderId="18" xfId="3" applyFont="1" applyBorder="1"/>
    <xf numFmtId="0" fontId="9" fillId="0" borderId="38" xfId="3" applyFont="1" applyBorder="1"/>
    <xf numFmtId="165" fontId="31" fillId="13" borderId="33" xfId="4" applyFont="1" applyFill="1" applyBorder="1" applyProtection="1">
      <protection locked="0"/>
    </xf>
    <xf numFmtId="0" fontId="9" fillId="0" borderId="33" xfId="3" applyFont="1" applyBorder="1"/>
    <xf numFmtId="0" fontId="9" fillId="0" borderId="37" xfId="3" applyFont="1" applyBorder="1"/>
    <xf numFmtId="0" fontId="29" fillId="0" borderId="1" xfId="3" applyFont="1" applyBorder="1"/>
    <xf numFmtId="165" fontId="8" fillId="0" borderId="32" xfId="4" applyFill="1" applyBorder="1" applyProtection="1"/>
    <xf numFmtId="0" fontId="8" fillId="0" borderId="0" xfId="3" applyAlignment="1">
      <alignment horizontal="center"/>
    </xf>
    <xf numFmtId="165" fontId="35" fillId="13" borderId="1" xfId="4" applyFont="1" applyFill="1" applyBorder="1" applyProtection="1">
      <protection locked="0"/>
    </xf>
    <xf numFmtId="0" fontId="9" fillId="0" borderId="1" xfId="3" applyFont="1" applyBorder="1"/>
    <xf numFmtId="49" fontId="9" fillId="0" borderId="1" xfId="3" applyNumberFormat="1" applyFont="1" applyBorder="1" applyAlignment="1">
      <alignment horizontal="center"/>
    </xf>
    <xf numFmtId="165" fontId="35" fillId="13" borderId="31" xfId="4" applyFont="1" applyFill="1" applyBorder="1" applyProtection="1">
      <protection locked="0"/>
    </xf>
    <xf numFmtId="0" fontId="29" fillId="0" borderId="1" xfId="3" applyFont="1" applyBorder="1" applyAlignment="1">
      <alignment horizontal="center"/>
    </xf>
    <xf numFmtId="0" fontId="36" fillId="0" borderId="0" xfId="3" applyFont="1" applyAlignment="1">
      <alignment horizontal="center"/>
    </xf>
    <xf numFmtId="0" fontId="36" fillId="14" borderId="4" xfId="3" applyFont="1" applyFill="1" applyBorder="1" applyAlignment="1">
      <alignment horizontal="center" vertical="center"/>
    </xf>
    <xf numFmtId="0" fontId="8" fillId="0" borderId="4" xfId="3" applyBorder="1" applyAlignment="1">
      <alignment vertical="center"/>
    </xf>
    <xf numFmtId="0" fontId="29" fillId="0" borderId="0" xfId="3" applyFont="1" applyAlignment="1">
      <alignment vertical="center"/>
    </xf>
    <xf numFmtId="0" fontId="37" fillId="0" borderId="0" xfId="3" applyFont="1"/>
    <xf numFmtId="0" fontId="12" fillId="0" borderId="0" xfId="3" applyFont="1"/>
    <xf numFmtId="0" fontId="17" fillId="0" borderId="0" xfId="3" applyFont="1"/>
    <xf numFmtId="2" fontId="17" fillId="0" borderId="0" xfId="3" applyNumberFormat="1" applyFont="1"/>
    <xf numFmtId="0" fontId="12" fillId="9" borderId="0" xfId="3" applyFont="1" applyFill="1"/>
    <xf numFmtId="2" fontId="38" fillId="0" borderId="0" xfId="3" applyNumberFormat="1" applyFont="1"/>
    <xf numFmtId="2" fontId="12" fillId="0" borderId="0" xfId="3" applyNumberFormat="1" applyFont="1"/>
    <xf numFmtId="0" fontId="17" fillId="0" borderId="0" xfId="3" applyFont="1" applyAlignment="1">
      <alignment wrapText="1"/>
    </xf>
    <xf numFmtId="0" fontId="0" fillId="10" borderId="0" xfId="0" applyFill="1" applyAlignment="1">
      <alignment wrapText="1"/>
    </xf>
    <xf numFmtId="0" fontId="41" fillId="10" borderId="0" xfId="0" applyFont="1" applyFill="1"/>
    <xf numFmtId="0" fontId="0" fillId="22" borderId="0" xfId="0" applyFill="1"/>
    <xf numFmtId="0" fontId="42" fillId="22" borderId="0" xfId="0" applyFont="1" applyFill="1" applyAlignment="1">
      <alignment horizontal="center"/>
    </xf>
    <xf numFmtId="44" fontId="2" fillId="10" borderId="9" xfId="0" applyNumberFormat="1" applyFont="1" applyFill="1" applyBorder="1"/>
    <xf numFmtId="0" fontId="2" fillId="10" borderId="2" xfId="0" applyFont="1" applyFill="1" applyBorder="1"/>
    <xf numFmtId="44" fontId="0" fillId="4" borderId="4" xfId="0" applyNumberFormat="1" applyFill="1" applyBorder="1" applyProtection="1">
      <protection locked="0"/>
    </xf>
    <xf numFmtId="0" fontId="16" fillId="0" borderId="0" xfId="0" applyFont="1" applyAlignment="1">
      <alignment vertical="top" wrapText="1"/>
    </xf>
    <xf numFmtId="0" fontId="2" fillId="0" borderId="7" xfId="0" applyFont="1" applyBorder="1"/>
    <xf numFmtId="3" fontId="0" fillId="0" borderId="0" xfId="0" applyNumberFormat="1"/>
    <xf numFmtId="0" fontId="17" fillId="0" borderId="0" xfId="3" applyFont="1" applyAlignment="1">
      <alignment horizontal="center"/>
    </xf>
    <xf numFmtId="1" fontId="18" fillId="23" borderId="0" xfId="3" applyNumberFormat="1" applyFont="1" applyFill="1" applyAlignment="1">
      <alignment horizontal="center"/>
    </xf>
    <xf numFmtId="1" fontId="18" fillId="15" borderId="0" xfId="3" applyNumberFormat="1" applyFont="1" applyFill="1" applyAlignment="1">
      <alignment horizontal="center"/>
    </xf>
    <xf numFmtId="1" fontId="18" fillId="18" borderId="0" xfId="3" applyNumberFormat="1" applyFont="1" applyFill="1" applyAlignment="1">
      <alignment horizontal="center"/>
    </xf>
    <xf numFmtId="1" fontId="18" fillId="11" borderId="0" xfId="3" applyNumberFormat="1" applyFont="1" applyFill="1" applyAlignment="1">
      <alignment horizontal="center"/>
    </xf>
    <xf numFmtId="1" fontId="17" fillId="9" borderId="0" xfId="3" applyNumberFormat="1" applyFont="1" applyFill="1" applyAlignment="1">
      <alignment horizontal="center"/>
    </xf>
    <xf numFmtId="1" fontId="18" fillId="16" borderId="0" xfId="3" applyNumberFormat="1" applyFont="1" applyFill="1" applyAlignment="1">
      <alignment horizontal="center"/>
    </xf>
    <xf numFmtId="0" fontId="17" fillId="17" borderId="0" xfId="3" applyFont="1" applyFill="1"/>
    <xf numFmtId="2" fontId="39" fillId="0" borderId="0" xfId="3" applyNumberFormat="1" applyFont="1"/>
    <xf numFmtId="2" fontId="38" fillId="0" borderId="0" xfId="7" applyNumberFormat="1" applyFont="1" applyAlignment="1">
      <alignment horizontal="left"/>
    </xf>
    <xf numFmtId="2" fontId="17" fillId="2" borderId="0" xfId="3" applyNumberFormat="1" applyFont="1" applyFill="1"/>
    <xf numFmtId="2" fontId="12" fillId="2" borderId="0" xfId="3" applyNumberFormat="1" applyFont="1" applyFill="1"/>
    <xf numFmtId="2" fontId="12" fillId="0" borderId="0" xfId="7" applyNumberFormat="1" applyFont="1"/>
    <xf numFmtId="2" fontId="12" fillId="0" borderId="0" xfId="7" applyNumberFormat="1" applyFont="1" applyAlignment="1">
      <alignment horizontal="left"/>
    </xf>
    <xf numFmtId="2" fontId="40" fillId="0" borderId="0" xfId="3" applyNumberFormat="1" applyFont="1"/>
    <xf numFmtId="2" fontId="12" fillId="0" borderId="0" xfId="7" applyNumberFormat="1" applyFont="1" applyAlignment="1">
      <alignment horizontal="right"/>
    </xf>
    <xf numFmtId="2" fontId="17" fillId="0" borderId="0" xfId="7" applyNumberFormat="1" applyFont="1" applyAlignment="1">
      <alignment horizontal="right"/>
    </xf>
    <xf numFmtId="0" fontId="17" fillId="17" borderId="0" xfId="3" applyFont="1" applyFill="1" applyAlignment="1">
      <alignment wrapText="1"/>
    </xf>
    <xf numFmtId="2" fontId="14" fillId="2" borderId="0" xfId="3" applyNumberFormat="1" applyFont="1" applyFill="1"/>
    <xf numFmtId="2" fontId="17" fillId="0" borderId="0" xfId="3" applyNumberFormat="1" applyFont="1" applyAlignment="1">
      <alignment vertical="justify"/>
    </xf>
    <xf numFmtId="10" fontId="17" fillId="0" borderId="0" xfId="8" applyNumberFormat="1" applyFont="1" applyFill="1" applyBorder="1" applyAlignment="1"/>
    <xf numFmtId="0" fontId="18" fillId="9" borderId="0" xfId="3" applyFont="1" applyFill="1" applyAlignment="1">
      <alignment horizontal="center"/>
    </xf>
    <xf numFmtId="0" fontId="17" fillId="21" borderId="0" xfId="3" applyFont="1" applyFill="1"/>
    <xf numFmtId="2" fontId="0" fillId="0" borderId="0" xfId="0" applyNumberFormat="1"/>
    <xf numFmtId="4" fontId="2" fillId="3" borderId="9" xfId="0" applyNumberFormat="1" applyFont="1" applyFill="1" applyBorder="1"/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64" fontId="16" fillId="0" borderId="0" xfId="1" applyFont="1"/>
    <xf numFmtId="0" fontId="0" fillId="0" borderId="4" xfId="0" applyBorder="1" applyAlignment="1">
      <alignment wrapText="1"/>
    </xf>
    <xf numFmtId="0" fontId="17" fillId="2" borderId="0" xfId="3" applyFont="1" applyFill="1"/>
    <xf numFmtId="2" fontId="38" fillId="9" borderId="0" xfId="3" applyNumberFormat="1" applyFont="1" applyFill="1"/>
    <xf numFmtId="2" fontId="12" fillId="9" borderId="0" xfId="7" applyNumberFormat="1" applyFont="1" applyFill="1"/>
    <xf numFmtId="2" fontId="38" fillId="0" borderId="0" xfId="3" applyNumberFormat="1" applyFont="1" applyAlignment="1">
      <alignment horizontal="center"/>
    </xf>
    <xf numFmtId="2" fontId="12" fillId="0" borderId="0" xfId="3" applyNumberFormat="1" applyFont="1" applyAlignment="1">
      <alignment horizontal="center"/>
    </xf>
    <xf numFmtId="2" fontId="12" fillId="9" borderId="0" xfId="3" applyNumberFormat="1" applyFont="1" applyFill="1"/>
    <xf numFmtId="2" fontId="17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9" borderId="0" xfId="3" applyNumberFormat="1" applyFont="1" applyFill="1" applyAlignment="1">
      <alignment horizontal="right" wrapText="1"/>
    </xf>
    <xf numFmtId="2" fontId="12" fillId="0" borderId="0" xfId="3" applyNumberFormat="1" applyFont="1" applyAlignment="1">
      <alignment horizontal="right" wrapText="1"/>
    </xf>
    <xf numFmtId="0" fontId="17" fillId="2" borderId="0" xfId="3" applyFont="1" applyFill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4" fontId="27" fillId="0" borderId="12" xfId="0" applyNumberFormat="1" applyFont="1" applyBorder="1" applyAlignment="1">
      <alignment horizontal="center" wrapText="1"/>
    </xf>
    <xf numFmtId="14" fontId="27" fillId="0" borderId="0" xfId="0" applyNumberFormat="1" applyFont="1" applyAlignment="1">
      <alignment horizontal="center" wrapText="1"/>
    </xf>
    <xf numFmtId="14" fontId="0" fillId="0" borderId="30" xfId="0" applyNumberFormat="1" applyBorder="1" applyAlignment="1">
      <alignment horizontal="left" vertical="top" wrapText="1"/>
    </xf>
    <xf numFmtId="14" fontId="0" fillId="0" borderId="6" xfId="0" applyNumberFormat="1" applyBorder="1" applyAlignment="1">
      <alignment horizontal="left" vertical="top" wrapText="1"/>
    </xf>
    <xf numFmtId="14" fontId="0" fillId="0" borderId="29" xfId="0" applyNumberFormat="1" applyBorder="1" applyAlignment="1">
      <alignment horizontal="left" vertical="top" wrapText="1"/>
    </xf>
    <xf numFmtId="14" fontId="0" fillId="0" borderId="20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4" fontId="0" fillId="0" borderId="23" xfId="0" applyNumberFormat="1" applyBorder="1" applyAlignment="1">
      <alignment horizontal="left" vertical="top" wrapText="1"/>
    </xf>
    <xf numFmtId="14" fontId="0" fillId="0" borderId="28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27" xfId="0" applyNumberFormat="1" applyBorder="1" applyAlignment="1">
      <alignment horizontal="left" vertical="top" wrapText="1"/>
    </xf>
    <xf numFmtId="0" fontId="18" fillId="20" borderId="0" xfId="3" applyFont="1" applyFill="1" applyAlignment="1">
      <alignment horizontal="center"/>
    </xf>
    <xf numFmtId="0" fontId="18" fillId="19" borderId="0" xfId="3" applyFont="1" applyFill="1" applyAlignment="1">
      <alignment horizontal="center"/>
    </xf>
    <xf numFmtId="0" fontId="28" fillId="0" borderId="38" xfId="6" applyFont="1" applyFill="1" applyBorder="1" applyAlignment="1" applyProtection="1">
      <alignment horizontal="left" vertical="center" wrapText="1"/>
    </xf>
    <xf numFmtId="0" fontId="28" fillId="0" borderId="37" xfId="6" applyFont="1" applyFill="1" applyBorder="1" applyAlignment="1" applyProtection="1">
      <alignment horizontal="left" vertical="center" wrapText="1"/>
    </xf>
    <xf numFmtId="0" fontId="9" fillId="0" borderId="38" xfId="3" applyFont="1" applyBorder="1" applyAlignment="1">
      <alignment horizontal="left" vertical="center" wrapText="1"/>
    </xf>
    <xf numFmtId="0" fontId="9" fillId="0" borderId="37" xfId="3" applyFont="1" applyBorder="1" applyAlignment="1">
      <alignment horizontal="left" vertical="center" wrapText="1"/>
    </xf>
    <xf numFmtId="0" fontId="9" fillId="0" borderId="35" xfId="3" applyFont="1" applyBorder="1" applyAlignment="1">
      <alignment horizontal="left" vertical="center" wrapText="1"/>
    </xf>
    <xf numFmtId="0" fontId="9" fillId="0" borderId="38" xfId="3" applyFont="1" applyBorder="1" applyAlignment="1">
      <alignment horizontal="left" vertical="center"/>
    </xf>
    <xf numFmtId="0" fontId="9" fillId="0" borderId="37" xfId="3" applyFont="1" applyBorder="1" applyAlignment="1">
      <alignment horizontal="left" vertical="center"/>
    </xf>
    <xf numFmtId="0" fontId="9" fillId="0" borderId="35" xfId="3" applyFont="1" applyBorder="1" applyAlignment="1">
      <alignment horizontal="left" vertical="center"/>
    </xf>
  </cellXfs>
  <cellStyles count="9">
    <cellStyle name="Euro 2" xfId="4" xr:uid="{00000000-0005-0000-0000-000000000000}"/>
    <cellStyle name="Millares" xfId="5" builtinId="3"/>
    <cellStyle name="Moneda" xfId="1" builtinId="4"/>
    <cellStyle name="Neutral 2" xfId="6" xr:uid="{02702495-5BBA-448D-A93D-AB72EC79D97C}"/>
    <cellStyle name="Normal" xfId="0" builtinId="0"/>
    <cellStyle name="Normal 2" xfId="3" xr:uid="{00000000-0005-0000-0000-000004000000}"/>
    <cellStyle name="Normal_NC Y N0" xfId="7" xr:uid="{384B8FA7-AECC-42FC-91EA-F4CC0CC5F0A1}"/>
    <cellStyle name="Porcentaje" xfId="2" builtinId="5"/>
    <cellStyle name="Porcentaje 2" xfId="8" xr:uid="{1E72D900-9E3E-4398-A1EC-00903049909E}"/>
  </cellStyles>
  <dxfs count="15">
    <dxf>
      <font>
        <b val="0"/>
        <i val="0"/>
        <color theme="1"/>
      </font>
      <border>
        <left/>
        <right/>
        <top/>
        <bottom/>
      </border>
    </dxf>
    <dxf>
      <font>
        <color theme="1"/>
      </font>
      <numFmt numFmtId="3" formatCode="#,##0"/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numFmt numFmtId="4" formatCode="#,##0.00"/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numFmt numFmtId="30" formatCode="@"/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fgColor auto="1"/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 val="0"/>
        <color theme="1"/>
      </font>
      <border>
        <left/>
        <right/>
        <top/>
        <bottom/>
      </border>
    </dxf>
    <dxf>
      <font>
        <color theme="1"/>
      </font>
      <numFmt numFmtId="3" formatCode="#,##0"/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lor theme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numFmt numFmtId="4" formatCode="#,##0.00"/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numFmt numFmtId="30" formatCode="@"/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>
          <fgColor auto="1"/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CE18-9D51-4757-AEC5-A05B38D3B131}">
  <sheetPr>
    <pageSetUpPr fitToPage="1"/>
  </sheetPr>
  <dimension ref="A1:J68"/>
  <sheetViews>
    <sheetView tabSelected="1" zoomScaleNormal="100" workbookViewId="0"/>
  </sheetViews>
  <sheetFormatPr baseColWidth="10" defaultRowHeight="14.4" x14ac:dyDescent="0.3"/>
  <cols>
    <col min="1" max="1" width="54" customWidth="1"/>
    <col min="2" max="2" width="15.6640625" customWidth="1"/>
    <col min="3" max="3" width="12.109375" customWidth="1"/>
    <col min="4" max="4" width="12.44140625" customWidth="1"/>
    <col min="5" max="5" width="16.5546875" customWidth="1"/>
    <col min="6" max="6" width="13" customWidth="1"/>
    <col min="7" max="7" width="15" bestFit="1" customWidth="1"/>
    <col min="8" max="8" width="22" customWidth="1"/>
    <col min="9" max="9" width="13.44140625" customWidth="1"/>
    <col min="10" max="10" width="12" customWidth="1"/>
  </cols>
  <sheetData>
    <row r="1" spans="1:9" ht="21" x14ac:dyDescent="0.35">
      <c r="A1" s="91" t="s">
        <v>32</v>
      </c>
      <c r="B1" s="87">
        <v>2025</v>
      </c>
      <c r="D1" s="54" t="s">
        <v>33</v>
      </c>
      <c r="E1" s="55"/>
    </row>
    <row r="2" spans="1:9" ht="15.6" x14ac:dyDescent="0.3">
      <c r="A2" s="57" t="s">
        <v>267</v>
      </c>
    </row>
    <row r="3" spans="1:9" ht="15.6" x14ac:dyDescent="0.3">
      <c r="A3" s="57" t="s">
        <v>65</v>
      </c>
    </row>
    <row r="4" spans="1:9" ht="27.75" customHeight="1" x14ac:dyDescent="0.35">
      <c r="A4" s="88" t="s">
        <v>52</v>
      </c>
      <c r="B4" s="41">
        <v>2023</v>
      </c>
      <c r="C4" s="3"/>
    </row>
    <row r="5" spans="1:9" x14ac:dyDescent="0.3">
      <c r="A5" s="84" t="s">
        <v>21</v>
      </c>
      <c r="B5" s="42">
        <v>12000</v>
      </c>
      <c r="E5" s="61" t="s">
        <v>48</v>
      </c>
      <c r="F5" s="61" t="s">
        <v>41</v>
      </c>
      <c r="G5" s="67" t="s">
        <v>283</v>
      </c>
    </row>
    <row r="6" spans="1:9" x14ac:dyDescent="0.3">
      <c r="A6" s="84" t="s">
        <v>4</v>
      </c>
      <c r="B6" s="42">
        <v>0</v>
      </c>
      <c r="E6" s="70"/>
      <c r="F6" s="66">
        <f>IF(E6="P. no contributiva",14,IF(E6="Hijo a cargo",12,IF(E6="LISMI",14,IF(E6="Gran invalidez",E8,IF(E6="Otros",E8,0)))))</f>
        <v>0</v>
      </c>
      <c r="G6" s="65">
        <f>IF(E6="P. no contributiva",282.35,IF(E6="Hijo a cargo",241.8,IF(E6="LISMI",58.45,IF(E6="Gran invalidez",E7,IF(E6="Otros",E7,0)))))</f>
        <v>0</v>
      </c>
    </row>
    <row r="7" spans="1:9" x14ac:dyDescent="0.3">
      <c r="A7" s="84" t="s">
        <v>4</v>
      </c>
      <c r="B7" s="42">
        <v>0</v>
      </c>
      <c r="D7" s="69" t="s">
        <v>42</v>
      </c>
      <c r="E7" s="59">
        <v>500</v>
      </c>
      <c r="F7" s="58"/>
      <c r="G7" s="67" t="s">
        <v>39</v>
      </c>
    </row>
    <row r="8" spans="1:9" x14ac:dyDescent="0.3">
      <c r="A8" s="85" t="s">
        <v>4</v>
      </c>
      <c r="B8" s="43"/>
      <c r="D8" s="69" t="s">
        <v>41</v>
      </c>
      <c r="E8" s="68">
        <v>12</v>
      </c>
      <c r="F8" s="58"/>
      <c r="G8" s="65">
        <f>TRUNC(G6*F6/12,2)</f>
        <v>0</v>
      </c>
    </row>
    <row r="9" spans="1:9" x14ac:dyDescent="0.3">
      <c r="A9" t="s">
        <v>49</v>
      </c>
      <c r="B9" s="2">
        <f>SUM(B5:B8)</f>
        <v>12000</v>
      </c>
    </row>
    <row r="10" spans="1:9" x14ac:dyDescent="0.3">
      <c r="A10" s="3" t="s">
        <v>0</v>
      </c>
      <c r="B10" s="44">
        <v>1</v>
      </c>
    </row>
    <row r="11" spans="1:9" x14ac:dyDescent="0.3">
      <c r="A11" s="23" t="s">
        <v>5</v>
      </c>
      <c r="B11" s="24"/>
      <c r="C11" s="25">
        <f>B9/B10</f>
        <v>12000</v>
      </c>
    </row>
    <row r="12" spans="1:9" x14ac:dyDescent="0.3">
      <c r="A12" t="s">
        <v>6</v>
      </c>
      <c r="B12" s="42">
        <v>0</v>
      </c>
    </row>
    <row r="13" spans="1:9" x14ac:dyDescent="0.3">
      <c r="A13" t="s">
        <v>7</v>
      </c>
      <c r="B13" s="2">
        <f>MAX(B12-22000,0)</f>
        <v>0</v>
      </c>
    </row>
    <row r="14" spans="1:9" ht="18.75" customHeight="1" x14ac:dyDescent="0.3">
      <c r="A14" t="s">
        <v>25</v>
      </c>
      <c r="B14" s="45">
        <v>0.05</v>
      </c>
      <c r="E14" s="223" t="s">
        <v>301</v>
      </c>
      <c r="F14" s="223"/>
      <c r="G14" s="223"/>
      <c r="H14" s="223"/>
      <c r="I14" s="223"/>
    </row>
    <row r="15" spans="1:9" ht="15.75" customHeight="1" thickBot="1" x14ac:dyDescent="0.35">
      <c r="A15" s="26" t="s">
        <v>26</v>
      </c>
      <c r="B15" s="27"/>
      <c r="C15" s="28">
        <f>B13*B14</f>
        <v>0</v>
      </c>
      <c r="E15" s="223"/>
      <c r="F15" s="223"/>
      <c r="G15" s="223"/>
      <c r="H15" s="223"/>
      <c r="I15" s="223"/>
    </row>
    <row r="16" spans="1:9" ht="15.75" customHeight="1" thickBot="1" x14ac:dyDescent="0.35">
      <c r="A16" s="7" t="s">
        <v>34</v>
      </c>
      <c r="B16" s="8"/>
      <c r="C16" s="9">
        <f>C11+C15</f>
        <v>12000</v>
      </c>
      <c r="E16" s="223"/>
      <c r="F16" s="223"/>
      <c r="G16" s="223"/>
      <c r="H16" s="223"/>
      <c r="I16" s="223"/>
    </row>
    <row r="17" spans="1:9" ht="18.600000000000001" thickBot="1" x14ac:dyDescent="0.4">
      <c r="A17" s="89" t="s">
        <v>1</v>
      </c>
      <c r="B17" s="8"/>
      <c r="C17" s="21">
        <f>C16/12</f>
        <v>1000</v>
      </c>
      <c r="E17" s="223"/>
      <c r="F17" s="223"/>
      <c r="G17" s="223"/>
      <c r="H17" s="223"/>
      <c r="I17" s="223"/>
    </row>
    <row r="18" spans="1:9" ht="18.600000000000001" thickBot="1" x14ac:dyDescent="0.4">
      <c r="A18" s="90" t="s">
        <v>35</v>
      </c>
      <c r="B18" s="10"/>
      <c r="C18" s="16">
        <f>ROUND(MIN(IF(C16&lt;=IF(B4=2022,6430.27,IF(B4=2023,6784.54,"ERROR"))*1.07,0,0.35*(C17-IF(B4=2022,484.62,IF(B4=2023,484.62,"ERROR"))*1.07)/IF(B4=2022,653.22,IF(B4=2023,698.3,"ERROR"))),0.7),2)</f>
        <v>0.24</v>
      </c>
      <c r="E18" s="223"/>
      <c r="F18" s="223"/>
      <c r="G18" s="223"/>
      <c r="H18" s="223"/>
      <c r="I18" s="223"/>
    </row>
    <row r="19" spans="1:9" ht="6.75" customHeight="1" x14ac:dyDescent="0.3"/>
    <row r="20" spans="1:9" x14ac:dyDescent="0.3">
      <c r="D20" s="227" t="s">
        <v>22</v>
      </c>
      <c r="E20" s="227"/>
      <c r="F20" s="227"/>
    </row>
    <row r="21" spans="1:9" x14ac:dyDescent="0.3">
      <c r="A21" s="1"/>
      <c r="B21" s="52" t="s">
        <v>27</v>
      </c>
      <c r="D21" s="79" t="s">
        <v>11</v>
      </c>
      <c r="E21" s="79" t="str">
        <f>A1</f>
        <v>A GUSTO EN CASA</v>
      </c>
      <c r="F21" s="80" t="s">
        <v>40</v>
      </c>
    </row>
    <row r="22" spans="1:9" x14ac:dyDescent="0.3">
      <c r="A22" s="22" t="s">
        <v>36</v>
      </c>
      <c r="B22" s="17">
        <f>ROUND(IF($C$18=0,0,MAX(0,$B$9/12-IF($B$4=2022,535.86,IF($B$4=2023,565.38,"ERROR"))*(1+0.3*($B$10-1)))),2)</f>
        <v>434.62</v>
      </c>
      <c r="D22" s="86"/>
      <c r="E22" s="86"/>
      <c r="F22" s="86"/>
      <c r="G22" s="86"/>
    </row>
    <row r="23" spans="1:9" x14ac:dyDescent="0.3">
      <c r="A23" s="22" t="s">
        <v>37</v>
      </c>
      <c r="B23" s="17">
        <f>IF(C18=0,0,B22/$C$18+G8)</f>
        <v>1810.9166666666667</v>
      </c>
      <c r="D23" s="86"/>
      <c r="F23" s="86"/>
    </row>
    <row r="25" spans="1:9" ht="9" customHeight="1" x14ac:dyDescent="0.3"/>
    <row r="26" spans="1:9" ht="15" customHeight="1" x14ac:dyDescent="0.3">
      <c r="A26" s="5" t="s">
        <v>29</v>
      </c>
      <c r="B26" s="46" t="s">
        <v>30</v>
      </c>
      <c r="C26" s="224" t="str">
        <f>IF(AND(B26="SI",B27="SI"),"No es posible mantener CEF y SAD o CD. Corrija su elección"," ")</f>
        <v xml:space="preserve"> </v>
      </c>
      <c r="D26" s="225"/>
      <c r="E26" s="225"/>
      <c r="F26" s="225"/>
      <c r="G26" s="226"/>
    </row>
    <row r="27" spans="1:9" ht="34.5" customHeight="1" x14ac:dyDescent="0.3">
      <c r="A27" s="211" t="s">
        <v>285</v>
      </c>
      <c r="B27" s="46" t="s">
        <v>30</v>
      </c>
      <c r="C27" s="224" t="str">
        <f>IF(AND(B31&gt;0,D31=0),"Se financia todo el servicio a través del proyecto"," ")</f>
        <v xml:space="preserve"> </v>
      </c>
      <c r="D27" s="225"/>
      <c r="E27" s="225"/>
      <c r="F27" s="225"/>
      <c r="G27" s="226"/>
    </row>
    <row r="28" spans="1:9" ht="23.4" customHeight="1" x14ac:dyDescent="0.3">
      <c r="A28" s="56" t="s">
        <v>259</v>
      </c>
    </row>
    <row r="29" spans="1:9" ht="15" customHeight="1" x14ac:dyDescent="0.3">
      <c r="A29" s="1" t="s">
        <v>24</v>
      </c>
      <c r="D29" s="228" t="s">
        <v>22</v>
      </c>
      <c r="E29" s="229"/>
      <c r="F29" s="230"/>
      <c r="H29" s="71" t="s">
        <v>43</v>
      </c>
      <c r="I29" s="72"/>
    </row>
    <row r="30" spans="1:9" x14ac:dyDescent="0.3">
      <c r="A30" s="5" t="s">
        <v>20</v>
      </c>
      <c r="B30" s="47">
        <v>3</v>
      </c>
      <c r="D30" s="52" t="s">
        <v>11</v>
      </c>
      <c r="E30" s="52" t="str">
        <f>A1</f>
        <v>A GUSTO EN CASA</v>
      </c>
      <c r="F30" s="60" t="s">
        <v>40</v>
      </c>
      <c r="H30" s="73" t="s">
        <v>44</v>
      </c>
      <c r="I30" s="74">
        <f>B31</f>
        <v>1450</v>
      </c>
    </row>
    <row r="31" spans="1:9" x14ac:dyDescent="0.3">
      <c r="A31" s="5" t="s">
        <v>2</v>
      </c>
      <c r="B31" s="48">
        <v>1450</v>
      </c>
      <c r="C31" s="62"/>
      <c r="D31" s="78">
        <f>D33+D32</f>
        <v>974.33</v>
      </c>
      <c r="E31" s="78">
        <f>MAX(0,B31-D31-F34)</f>
        <v>475.66999999999996</v>
      </c>
      <c r="F31" s="78">
        <f>F34</f>
        <v>0</v>
      </c>
      <c r="H31" s="72" t="s">
        <v>50</v>
      </c>
      <c r="I31" s="75">
        <f>E32</f>
        <v>361.51</v>
      </c>
    </row>
    <row r="32" spans="1:9" x14ac:dyDescent="0.3">
      <c r="A32" s="5" t="s">
        <v>23</v>
      </c>
      <c r="B32" s="17">
        <f>SUM(D32:E32)</f>
        <v>1102</v>
      </c>
      <c r="D32" s="17">
        <f>ROUND(IF(OR(B26="SI",B27="SI"),0,MIN(D41,IF(C18=0,999999999,B22/C18-B22),IF((B31-G8)&lt;D40,D40,MAX(D40,(B31-G8)*F41)))),2)</f>
        <v>740.49</v>
      </c>
      <c r="E32" s="17">
        <f>E31-E33</f>
        <v>361.51</v>
      </c>
      <c r="F32" s="64"/>
      <c r="H32" s="76" t="s">
        <v>45</v>
      </c>
      <c r="I32" s="77">
        <f>I30-I31</f>
        <v>1088.49</v>
      </c>
    </row>
    <row r="33" spans="1:10" x14ac:dyDescent="0.3">
      <c r="A33" s="5" t="s">
        <v>3</v>
      </c>
      <c r="B33" s="17">
        <f>SUM(D33:E33)</f>
        <v>348</v>
      </c>
      <c r="D33" s="17">
        <f>ROUND(IF(OR(B26="SI",B27="SI",C18=0),0,MIN(B31-D40-F34,B22,D41/F41-D41,C18*(B31-F34))),2)</f>
        <v>233.84</v>
      </c>
      <c r="E33" s="17">
        <f>ROUND(IF(D33&gt;B22,0,MAX(0,MIN(E31-E40,C18*E31,B22-D33))),2)</f>
        <v>114.16</v>
      </c>
      <c r="F33" s="64"/>
      <c r="H33" s="73"/>
      <c r="I33" s="73"/>
    </row>
    <row r="34" spans="1:10" x14ac:dyDescent="0.3">
      <c r="A34" s="5" t="s">
        <v>38</v>
      </c>
      <c r="B34" s="17">
        <f>F34</f>
        <v>0</v>
      </c>
      <c r="D34" s="63"/>
      <c r="E34" s="63"/>
      <c r="F34" s="17">
        <f>IF(OR(B26="SI",B27="SI"),MIN(G8,B31-E40),MIN(G8,B31-D40))</f>
        <v>0</v>
      </c>
      <c r="H34" s="76" t="s">
        <v>46</v>
      </c>
      <c r="I34" s="73"/>
    </row>
    <row r="35" spans="1:10" ht="15" thickBot="1" x14ac:dyDescent="0.35">
      <c r="H35" s="73" t="s">
        <v>47</v>
      </c>
      <c r="I35" s="74">
        <f>D32</f>
        <v>740.49</v>
      </c>
    </row>
    <row r="36" spans="1:10" x14ac:dyDescent="0.3">
      <c r="A36" s="14" t="s">
        <v>19</v>
      </c>
      <c r="B36" s="208" t="s">
        <v>8</v>
      </c>
      <c r="C36" s="208" t="s">
        <v>9</v>
      </c>
      <c r="D36" s="208" t="s">
        <v>10</v>
      </c>
      <c r="E36" s="209" t="s">
        <v>16</v>
      </c>
      <c r="H36" s="73" t="s">
        <v>48</v>
      </c>
      <c r="I36" s="74">
        <f>F34</f>
        <v>0</v>
      </c>
    </row>
    <row r="37" spans="1:10" x14ac:dyDescent="0.3">
      <c r="A37" s="12" t="s">
        <v>51</v>
      </c>
      <c r="B37" s="92">
        <v>915</v>
      </c>
      <c r="C37" s="92">
        <v>580</v>
      </c>
      <c r="D37" s="92">
        <v>385</v>
      </c>
      <c r="E37" s="18">
        <v>0</v>
      </c>
      <c r="H37" s="73" t="s">
        <v>3</v>
      </c>
      <c r="I37" s="74">
        <f>B33</f>
        <v>348</v>
      </c>
    </row>
    <row r="38" spans="1:10" x14ac:dyDescent="0.3">
      <c r="A38" s="12" t="s">
        <v>17</v>
      </c>
      <c r="B38" s="86">
        <v>1105</v>
      </c>
      <c r="C38" s="86">
        <v>903</v>
      </c>
      <c r="D38" s="86">
        <v>467</v>
      </c>
      <c r="E38" s="18">
        <v>0</v>
      </c>
    </row>
    <row r="39" spans="1:10" ht="15" thickBot="1" x14ac:dyDescent="0.35">
      <c r="A39" s="6" t="s">
        <v>18</v>
      </c>
      <c r="B39" s="19">
        <f>ROUND(MAX(MIN(B38,MAX(B37*1.038*(1.51-0.51*C17/IF(B4=2022,653.22,IF(B4=2023,698.3,614.45))),200))-G8,200),2)</f>
        <v>740.49</v>
      </c>
      <c r="C39" s="19">
        <f>ROUND(MAX(MIN(C38,MAX(1245*1.019-$C$17/IF(B4=2022,1.1485,IF(B4=2023,1.2278,1.0803)),C37*1.038*(1.51-0.51*C17/IF(B4=2022,653.22,IF(B4=2023,698.3,614.45))),150))-G8,150),2)</f>
        <v>469.38</v>
      </c>
      <c r="D39" s="19">
        <f>ROUND(MAX(MIN(D38,MAX(D37*1.038*(1.51-0.51*C17/IF(B4=2022,653.22,IF(B4=2023,698.3,614.45))),100))-G8,100),2)</f>
        <v>311.57</v>
      </c>
      <c r="E39" s="20">
        <v>0</v>
      </c>
    </row>
    <row r="40" spans="1:10" ht="15" thickBot="1" x14ac:dyDescent="0.35">
      <c r="A40" s="82" t="s">
        <v>284</v>
      </c>
      <c r="B40" s="4"/>
      <c r="C40" s="4"/>
      <c r="D40" s="210">
        <f>IF(OR($B$26="SI",$B$27="SI",$B$30=0),0,ROUND(MIN(IF($B$30=3,200,IF($B$30=2,150,IF($B$30=1,100,0))),$B$31*$F$41),2))</f>
        <v>200</v>
      </c>
      <c r="E40" s="210">
        <f>IF(OR(AND($B$26="no",$B$27="no"),$B$30=0),0,ROUND(MIN(IF($B$30=3,200,IF($B$30=2,150,IF($B$30=1,100,0))),$B$31*$F$41),2))</f>
        <v>0</v>
      </c>
    </row>
    <row r="41" spans="1:10" ht="15" thickBot="1" x14ac:dyDescent="0.35">
      <c r="A41" s="30" t="s">
        <v>12</v>
      </c>
      <c r="B41" s="29">
        <f>C17</f>
        <v>1000</v>
      </c>
      <c r="C41" s="31" t="s">
        <v>11</v>
      </c>
      <c r="D41" s="29">
        <f>IF(B30=3,B39,IF(B30=2,C39,IF(B30=1,D39,0)))</f>
        <v>740.49</v>
      </c>
      <c r="E41" s="31" t="s">
        <v>13</v>
      </c>
      <c r="F41" s="15">
        <f>1-C18</f>
        <v>0.76</v>
      </c>
    </row>
    <row r="42" spans="1:10" ht="15" thickBot="1" x14ac:dyDescent="0.35">
      <c r="A42" s="53" t="s">
        <v>31</v>
      </c>
      <c r="B42" s="40"/>
      <c r="C42" s="40"/>
      <c r="D42" s="40"/>
      <c r="E42" s="40"/>
      <c r="F42" s="40"/>
    </row>
    <row r="43" spans="1:10" ht="43.2" x14ac:dyDescent="0.3">
      <c r="A43" s="49" t="s">
        <v>15</v>
      </c>
      <c r="B43" s="32" t="s">
        <v>40</v>
      </c>
      <c r="C43" s="32" t="s">
        <v>260</v>
      </c>
      <c r="D43" s="33" t="s">
        <v>28</v>
      </c>
      <c r="E43" s="11" t="s">
        <v>14</v>
      </c>
      <c r="J43" s="206"/>
    </row>
    <row r="44" spans="1:10" x14ac:dyDescent="0.3">
      <c r="A44" s="50">
        <v>0</v>
      </c>
      <c r="B44" s="34">
        <f t="shared" ref="B44:B66" si="0">MIN(A44,$G$8)</f>
        <v>0</v>
      </c>
      <c r="C44" s="34">
        <f t="shared" ref="C44:C66" si="1">A44-B44-D44</f>
        <v>0</v>
      </c>
      <c r="D44" s="38">
        <f>MAX(MIN((A44-B44)*$C$18,B$22),0)</f>
        <v>0</v>
      </c>
      <c r="E44" s="35">
        <f>$B$9/12-D44</f>
        <v>1000</v>
      </c>
      <c r="F44" s="182"/>
    </row>
    <row r="45" spans="1:10" x14ac:dyDescent="0.3">
      <c r="A45" s="50">
        <f t="shared" ref="A45:A66" si="2">+A44+100</f>
        <v>100</v>
      </c>
      <c r="B45" s="34">
        <f t="shared" si="0"/>
        <v>0</v>
      </c>
      <c r="C45" s="34">
        <f t="shared" si="1"/>
        <v>76</v>
      </c>
      <c r="D45" s="38">
        <f t="shared" ref="D45:D66" si="3">MAX(MIN((A45-B45)*$C$18,B$22),0)</f>
        <v>24</v>
      </c>
      <c r="E45" s="35">
        <f t="shared" ref="E45:E66" si="4">$B$9/12-D45</f>
        <v>976</v>
      </c>
      <c r="F45" s="182"/>
    </row>
    <row r="46" spans="1:10" x14ac:dyDescent="0.3">
      <c r="A46" s="50">
        <f t="shared" si="2"/>
        <v>200</v>
      </c>
      <c r="B46" s="34">
        <f t="shared" si="0"/>
        <v>0</v>
      </c>
      <c r="C46" s="34">
        <f t="shared" si="1"/>
        <v>152</v>
      </c>
      <c r="D46" s="38">
        <f t="shared" si="3"/>
        <v>48</v>
      </c>
      <c r="E46" s="35">
        <f t="shared" si="4"/>
        <v>952</v>
      </c>
      <c r="F46" s="182"/>
    </row>
    <row r="47" spans="1:10" x14ac:dyDescent="0.3">
      <c r="A47" s="50">
        <f t="shared" si="2"/>
        <v>300</v>
      </c>
      <c r="B47" s="34">
        <f t="shared" si="0"/>
        <v>0</v>
      </c>
      <c r="C47" s="34">
        <f t="shared" si="1"/>
        <v>228</v>
      </c>
      <c r="D47" s="38">
        <f t="shared" si="3"/>
        <v>72</v>
      </c>
      <c r="E47" s="35">
        <f t="shared" si="4"/>
        <v>928</v>
      </c>
      <c r="F47" s="182"/>
    </row>
    <row r="48" spans="1:10" x14ac:dyDescent="0.3">
      <c r="A48" s="50">
        <f t="shared" si="2"/>
        <v>400</v>
      </c>
      <c r="B48" s="34">
        <f t="shared" si="0"/>
        <v>0</v>
      </c>
      <c r="C48" s="34">
        <f t="shared" si="1"/>
        <v>304</v>
      </c>
      <c r="D48" s="38">
        <f t="shared" si="3"/>
        <v>96</v>
      </c>
      <c r="E48" s="35">
        <f t="shared" si="4"/>
        <v>904</v>
      </c>
      <c r="F48" s="182"/>
    </row>
    <row r="49" spans="1:6" x14ac:dyDescent="0.3">
      <c r="A49" s="50">
        <f t="shared" si="2"/>
        <v>500</v>
      </c>
      <c r="B49" s="34">
        <f t="shared" si="0"/>
        <v>0</v>
      </c>
      <c r="C49" s="34">
        <f t="shared" si="1"/>
        <v>380</v>
      </c>
      <c r="D49" s="38">
        <f t="shared" si="3"/>
        <v>120</v>
      </c>
      <c r="E49" s="35">
        <f t="shared" si="4"/>
        <v>880</v>
      </c>
      <c r="F49" s="182"/>
    </row>
    <row r="50" spans="1:6" x14ac:dyDescent="0.3">
      <c r="A50" s="50">
        <f t="shared" si="2"/>
        <v>600</v>
      </c>
      <c r="B50" s="34">
        <f t="shared" si="0"/>
        <v>0</v>
      </c>
      <c r="C50" s="34">
        <f t="shared" si="1"/>
        <v>456</v>
      </c>
      <c r="D50" s="38">
        <f t="shared" si="3"/>
        <v>144</v>
      </c>
      <c r="E50" s="35">
        <f t="shared" si="4"/>
        <v>856</v>
      </c>
      <c r="F50" s="182"/>
    </row>
    <row r="51" spans="1:6" x14ac:dyDescent="0.3">
      <c r="A51" s="50">
        <f t="shared" si="2"/>
        <v>700</v>
      </c>
      <c r="B51" s="34">
        <f t="shared" si="0"/>
        <v>0</v>
      </c>
      <c r="C51" s="34">
        <f t="shared" si="1"/>
        <v>532</v>
      </c>
      <c r="D51" s="38">
        <f t="shared" si="3"/>
        <v>168</v>
      </c>
      <c r="E51" s="35">
        <f t="shared" si="4"/>
        <v>832</v>
      </c>
      <c r="F51" s="182"/>
    </row>
    <row r="52" spans="1:6" x14ac:dyDescent="0.3">
      <c r="A52" s="50">
        <f t="shared" si="2"/>
        <v>800</v>
      </c>
      <c r="B52" s="34">
        <f t="shared" si="0"/>
        <v>0</v>
      </c>
      <c r="C52" s="34">
        <f t="shared" si="1"/>
        <v>608</v>
      </c>
      <c r="D52" s="38">
        <f t="shared" si="3"/>
        <v>192</v>
      </c>
      <c r="E52" s="35">
        <f t="shared" si="4"/>
        <v>808</v>
      </c>
      <c r="F52" s="182"/>
    </row>
    <row r="53" spans="1:6" x14ac:dyDescent="0.3">
      <c r="A53" s="50">
        <f t="shared" si="2"/>
        <v>900</v>
      </c>
      <c r="B53" s="34">
        <f t="shared" si="0"/>
        <v>0</v>
      </c>
      <c r="C53" s="34">
        <f t="shared" si="1"/>
        <v>684</v>
      </c>
      <c r="D53" s="38">
        <f t="shared" si="3"/>
        <v>216</v>
      </c>
      <c r="E53" s="35">
        <f t="shared" si="4"/>
        <v>784</v>
      </c>
      <c r="F53" s="182"/>
    </row>
    <row r="54" spans="1:6" x14ac:dyDescent="0.3">
      <c r="A54" s="50">
        <f t="shared" si="2"/>
        <v>1000</v>
      </c>
      <c r="B54" s="34">
        <f t="shared" si="0"/>
        <v>0</v>
      </c>
      <c r="C54" s="34">
        <f t="shared" si="1"/>
        <v>760</v>
      </c>
      <c r="D54" s="38">
        <f t="shared" si="3"/>
        <v>240</v>
      </c>
      <c r="E54" s="35">
        <f t="shared" si="4"/>
        <v>760</v>
      </c>
      <c r="F54" s="182"/>
    </row>
    <row r="55" spans="1:6" x14ac:dyDescent="0.3">
      <c r="A55" s="50">
        <f t="shared" si="2"/>
        <v>1100</v>
      </c>
      <c r="B55" s="34">
        <f t="shared" si="0"/>
        <v>0</v>
      </c>
      <c r="C55" s="34">
        <f t="shared" si="1"/>
        <v>836</v>
      </c>
      <c r="D55" s="38">
        <f t="shared" si="3"/>
        <v>264</v>
      </c>
      <c r="E55" s="35">
        <f t="shared" si="4"/>
        <v>736</v>
      </c>
      <c r="F55" s="182"/>
    </row>
    <row r="56" spans="1:6" x14ac:dyDescent="0.3">
      <c r="A56" s="50">
        <f t="shared" si="2"/>
        <v>1200</v>
      </c>
      <c r="B56" s="34">
        <f t="shared" si="0"/>
        <v>0</v>
      </c>
      <c r="C56" s="34">
        <f t="shared" si="1"/>
        <v>912</v>
      </c>
      <c r="D56" s="38">
        <f t="shared" si="3"/>
        <v>288</v>
      </c>
      <c r="E56" s="35">
        <f t="shared" si="4"/>
        <v>712</v>
      </c>
      <c r="F56" s="182"/>
    </row>
    <row r="57" spans="1:6" x14ac:dyDescent="0.3">
      <c r="A57" s="50">
        <f t="shared" si="2"/>
        <v>1300</v>
      </c>
      <c r="B57" s="34">
        <f t="shared" si="0"/>
        <v>0</v>
      </c>
      <c r="C57" s="34">
        <f t="shared" si="1"/>
        <v>988</v>
      </c>
      <c r="D57" s="38">
        <f t="shared" si="3"/>
        <v>312</v>
      </c>
      <c r="E57" s="35">
        <f t="shared" si="4"/>
        <v>688</v>
      </c>
      <c r="F57" s="182"/>
    </row>
    <row r="58" spans="1:6" x14ac:dyDescent="0.3">
      <c r="A58" s="50">
        <f t="shared" si="2"/>
        <v>1400</v>
      </c>
      <c r="B58" s="34">
        <f t="shared" si="0"/>
        <v>0</v>
      </c>
      <c r="C58" s="34">
        <f t="shared" si="1"/>
        <v>1064</v>
      </c>
      <c r="D58" s="38">
        <f t="shared" si="3"/>
        <v>336</v>
      </c>
      <c r="E58" s="35">
        <f t="shared" si="4"/>
        <v>664</v>
      </c>
      <c r="F58" s="182"/>
    </row>
    <row r="59" spans="1:6" x14ac:dyDescent="0.3">
      <c r="A59" s="50">
        <f t="shared" si="2"/>
        <v>1500</v>
      </c>
      <c r="B59" s="34">
        <f t="shared" si="0"/>
        <v>0</v>
      </c>
      <c r="C59" s="34">
        <f t="shared" si="1"/>
        <v>1140</v>
      </c>
      <c r="D59" s="38">
        <f t="shared" si="3"/>
        <v>360</v>
      </c>
      <c r="E59" s="35">
        <f t="shared" si="4"/>
        <v>640</v>
      </c>
      <c r="F59" s="182"/>
    </row>
    <row r="60" spans="1:6" x14ac:dyDescent="0.3">
      <c r="A60" s="50">
        <f t="shared" si="2"/>
        <v>1600</v>
      </c>
      <c r="B60" s="34">
        <f t="shared" si="0"/>
        <v>0</v>
      </c>
      <c r="C60" s="34">
        <f t="shared" si="1"/>
        <v>1216</v>
      </c>
      <c r="D60" s="38">
        <f t="shared" si="3"/>
        <v>384</v>
      </c>
      <c r="E60" s="35">
        <f t="shared" si="4"/>
        <v>616</v>
      </c>
      <c r="F60" s="182"/>
    </row>
    <row r="61" spans="1:6" x14ac:dyDescent="0.3">
      <c r="A61" s="50">
        <f t="shared" si="2"/>
        <v>1700</v>
      </c>
      <c r="B61" s="34">
        <f t="shared" si="0"/>
        <v>0</v>
      </c>
      <c r="C61" s="34">
        <f t="shared" si="1"/>
        <v>1292</v>
      </c>
      <c r="D61" s="38">
        <f t="shared" si="3"/>
        <v>408</v>
      </c>
      <c r="E61" s="35">
        <f t="shared" si="4"/>
        <v>592</v>
      </c>
      <c r="F61" s="182"/>
    </row>
    <row r="62" spans="1:6" x14ac:dyDescent="0.3">
      <c r="A62" s="50">
        <f t="shared" si="2"/>
        <v>1800</v>
      </c>
      <c r="B62" s="34">
        <f t="shared" si="0"/>
        <v>0</v>
      </c>
      <c r="C62" s="34">
        <f t="shared" si="1"/>
        <v>1368</v>
      </c>
      <c r="D62" s="38">
        <f t="shared" si="3"/>
        <v>432</v>
      </c>
      <c r="E62" s="35">
        <f t="shared" si="4"/>
        <v>568</v>
      </c>
      <c r="F62" s="182"/>
    </row>
    <row r="63" spans="1:6" x14ac:dyDescent="0.3">
      <c r="A63" s="50">
        <f t="shared" si="2"/>
        <v>1900</v>
      </c>
      <c r="B63" s="34">
        <f t="shared" si="0"/>
        <v>0</v>
      </c>
      <c r="C63" s="34">
        <f t="shared" si="1"/>
        <v>1465.38</v>
      </c>
      <c r="D63" s="38">
        <f t="shared" si="3"/>
        <v>434.62</v>
      </c>
      <c r="E63" s="35">
        <f t="shared" si="4"/>
        <v>565.38</v>
      </c>
      <c r="F63" s="182"/>
    </row>
    <row r="64" spans="1:6" x14ac:dyDescent="0.3">
      <c r="A64" s="50">
        <f t="shared" si="2"/>
        <v>2000</v>
      </c>
      <c r="B64" s="34">
        <f t="shared" si="0"/>
        <v>0</v>
      </c>
      <c r="C64" s="34">
        <f t="shared" si="1"/>
        <v>1565.38</v>
      </c>
      <c r="D64" s="38">
        <f t="shared" si="3"/>
        <v>434.62</v>
      </c>
      <c r="E64" s="35">
        <f t="shared" si="4"/>
        <v>565.38</v>
      </c>
      <c r="F64" s="182"/>
    </row>
    <row r="65" spans="1:6" x14ac:dyDescent="0.3">
      <c r="A65" s="50">
        <f t="shared" si="2"/>
        <v>2100</v>
      </c>
      <c r="B65" s="34">
        <f t="shared" si="0"/>
        <v>0</v>
      </c>
      <c r="C65" s="34">
        <f t="shared" si="1"/>
        <v>1665.38</v>
      </c>
      <c r="D65" s="38">
        <f t="shared" si="3"/>
        <v>434.62</v>
      </c>
      <c r="E65" s="35">
        <f t="shared" si="4"/>
        <v>565.38</v>
      </c>
      <c r="F65" s="182"/>
    </row>
    <row r="66" spans="1:6" ht="15" thickBot="1" x14ac:dyDescent="0.35">
      <c r="A66" s="51">
        <f t="shared" si="2"/>
        <v>2200</v>
      </c>
      <c r="B66" s="36">
        <f t="shared" si="0"/>
        <v>0</v>
      </c>
      <c r="C66" s="36">
        <f t="shared" si="1"/>
        <v>1765.38</v>
      </c>
      <c r="D66" s="39">
        <f t="shared" si="3"/>
        <v>434.62</v>
      </c>
      <c r="E66" s="37">
        <f t="shared" si="4"/>
        <v>565.38</v>
      </c>
      <c r="F66" s="182"/>
    </row>
    <row r="68" spans="1:6" x14ac:dyDescent="0.3">
      <c r="A68" t="s">
        <v>302</v>
      </c>
    </row>
  </sheetData>
  <sheetProtection sheet="1" objects="1" scenarios="1"/>
  <mergeCells count="5">
    <mergeCell ref="E14:I18"/>
    <mergeCell ref="C26:G26"/>
    <mergeCell ref="C27:G27"/>
    <mergeCell ref="D20:F20"/>
    <mergeCell ref="D29:F29"/>
  </mergeCells>
  <conditionalFormatting sqref="D7">
    <cfRule type="expression" dxfId="14" priority="3">
      <formula>$E$6="Otros"</formula>
    </cfRule>
  </conditionalFormatting>
  <conditionalFormatting sqref="D7:D8">
    <cfRule type="expression" dxfId="13" priority="5">
      <formula>$E$6="Gran invalidez"</formula>
    </cfRule>
  </conditionalFormatting>
  <conditionalFormatting sqref="D8">
    <cfRule type="expression" dxfId="12" priority="2">
      <formula>$E$6="Otros"</formula>
    </cfRule>
  </conditionalFormatting>
  <conditionalFormatting sqref="E7">
    <cfRule type="expression" dxfId="11" priority="6" stopIfTrue="1">
      <formula>$E$6="Gran invalidez"</formula>
    </cfRule>
  </conditionalFormatting>
  <conditionalFormatting sqref="E7:E8">
    <cfRule type="expression" dxfId="10" priority="1">
      <formula>$E$6="Otros"</formula>
    </cfRule>
  </conditionalFormatting>
  <conditionalFormatting sqref="E8">
    <cfRule type="expression" dxfId="9" priority="4" stopIfTrue="1">
      <formula>$E$6="Gran invalidez"</formula>
    </cfRule>
  </conditionalFormatting>
  <conditionalFormatting sqref="E14">
    <cfRule type="expression" dxfId="8" priority="10">
      <formula>AND($G$6&gt;0,OR($B$26="SI",$B$27="SI"))</formula>
    </cfRule>
  </conditionalFormatting>
  <dataValidations count="7">
    <dataValidation type="decimal" allowBlank="1" showInputMessage="1" showErrorMessage="1" error="El usuario debe introducir un valor númerico superior a 0,00 e inferior al complemento máximo de gran invalidez" sqref="E7" xr:uid="{961D7EF5-CE4F-4BD2-9C35-92CFC52762B0}">
      <formula1>0.01</formula1>
      <formula2>2200</formula2>
    </dataValidation>
    <dataValidation type="list" allowBlank="1" showInputMessage="1" showErrorMessage="1" sqref="E6" xr:uid="{08D3B23C-CE59-435E-99FE-6128260B35A9}">
      <formula1>"--,P. no contributiva,Hijo a cargo,LISMI,Gran invalidez,Otros"</formula1>
    </dataValidation>
    <dataValidation type="list" allowBlank="1" showInputMessage="1" showErrorMessage="1" sqref="E8" xr:uid="{7FDE34B6-7966-4BEB-877F-123B7D7BEF1C}">
      <formula1>"12,14"</formula1>
    </dataValidation>
    <dataValidation type="list" allowBlank="1" showInputMessage="1" showErrorMessage="1" sqref="B26:B27" xr:uid="{00000000-0002-0000-0000-000002000000}">
      <formula1>"SI,NO"</formula1>
    </dataValidation>
    <dataValidation type="list" allowBlank="1" showInputMessage="1" showErrorMessage="1" sqref="B14" xr:uid="{00000000-0002-0000-0000-000001000000}">
      <formula1>"0%,3%,5%"</formula1>
    </dataValidation>
    <dataValidation type="whole" allowBlank="1" showInputMessage="1" showErrorMessage="1" sqref="B10" xr:uid="{00000000-0002-0000-0000-000000000000}">
      <formula1>1</formula1>
      <formula2>9</formula2>
    </dataValidation>
    <dataValidation type="list" allowBlank="1" showInputMessage="1" showErrorMessage="1" sqref="B4" xr:uid="{7C906C6D-1874-4111-A854-67C97E9FC7F4}">
      <formula1>"2022,2023"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45DD-6486-4F45-8784-CFF7C7FE7CDF}">
  <sheetPr>
    <pageSetUpPr fitToPage="1"/>
  </sheetPr>
  <dimension ref="A1:H43"/>
  <sheetViews>
    <sheetView zoomScaleNormal="100" workbookViewId="0">
      <selection activeCell="E33" sqref="E33"/>
    </sheetView>
  </sheetViews>
  <sheetFormatPr baseColWidth="10" defaultColWidth="11.44140625" defaultRowHeight="14.4" x14ac:dyDescent="0.3"/>
  <cols>
    <col min="1" max="1" width="51.44140625" customWidth="1"/>
    <col min="2" max="3" width="13.88671875" customWidth="1"/>
    <col min="5" max="5" width="16.5546875" customWidth="1"/>
    <col min="6" max="6" width="8.33203125" customWidth="1"/>
    <col min="7" max="7" width="24.33203125" bestFit="1" customWidth="1"/>
    <col min="8" max="8" width="12.5546875" customWidth="1"/>
    <col min="9" max="9" width="11.44140625" customWidth="1"/>
  </cols>
  <sheetData>
    <row r="1" spans="1:7" ht="21" x14ac:dyDescent="0.35">
      <c r="A1" s="91" t="s">
        <v>32</v>
      </c>
      <c r="B1" s="87">
        <v>2025</v>
      </c>
      <c r="D1" s="54" t="s">
        <v>33</v>
      </c>
      <c r="E1" s="55"/>
    </row>
    <row r="2" spans="1:7" ht="15.6" x14ac:dyDescent="0.3">
      <c r="A2" s="57" t="s">
        <v>66</v>
      </c>
    </row>
    <row r="3" spans="1:7" ht="15.6" x14ac:dyDescent="0.3">
      <c r="A3" s="57" t="s">
        <v>65</v>
      </c>
    </row>
    <row r="4" spans="1:7" ht="27.75" customHeight="1" x14ac:dyDescent="0.35">
      <c r="A4" s="88" t="s">
        <v>52</v>
      </c>
      <c r="B4" s="41">
        <v>2023</v>
      </c>
      <c r="C4" s="3"/>
    </row>
    <row r="5" spans="1:7" x14ac:dyDescent="0.3">
      <c r="A5" s="84" t="s">
        <v>21</v>
      </c>
      <c r="B5" s="42">
        <v>12000</v>
      </c>
      <c r="E5" s="235" t="s">
        <v>64</v>
      </c>
      <c r="F5" s="236"/>
      <c r="G5" s="237"/>
    </row>
    <row r="6" spans="1:7" x14ac:dyDescent="0.3">
      <c r="A6" s="84" t="s">
        <v>4</v>
      </c>
      <c r="B6" s="42"/>
      <c r="E6" s="238"/>
      <c r="F6" s="239"/>
      <c r="G6" s="240"/>
    </row>
    <row r="7" spans="1:7" x14ac:dyDescent="0.3">
      <c r="A7" s="84" t="s">
        <v>4</v>
      </c>
      <c r="B7" s="42"/>
      <c r="E7" s="238"/>
      <c r="F7" s="239"/>
      <c r="G7" s="240"/>
    </row>
    <row r="8" spans="1:7" x14ac:dyDescent="0.3">
      <c r="A8" s="85" t="s">
        <v>4</v>
      </c>
      <c r="B8" s="43"/>
      <c r="E8" s="241"/>
      <c r="F8" s="242"/>
      <c r="G8" s="243"/>
    </row>
    <row r="9" spans="1:7" x14ac:dyDescent="0.3">
      <c r="A9" t="s">
        <v>49</v>
      </c>
      <c r="B9" s="2">
        <f>SUM(B5:B8)</f>
        <v>12000</v>
      </c>
    </row>
    <row r="10" spans="1:7" x14ac:dyDescent="0.3">
      <c r="A10" s="3" t="s">
        <v>0</v>
      </c>
      <c r="B10" s="44">
        <v>1</v>
      </c>
    </row>
    <row r="11" spans="1:7" x14ac:dyDescent="0.3">
      <c r="A11" s="23" t="s">
        <v>5</v>
      </c>
      <c r="B11" s="24"/>
      <c r="C11" s="25">
        <f>B9/B10</f>
        <v>12000</v>
      </c>
    </row>
    <row r="12" spans="1:7" x14ac:dyDescent="0.3">
      <c r="A12" t="s">
        <v>6</v>
      </c>
      <c r="B12" s="42">
        <v>0</v>
      </c>
    </row>
    <row r="13" spans="1:7" x14ac:dyDescent="0.3">
      <c r="A13" t="s">
        <v>7</v>
      </c>
      <c r="B13" s="2">
        <f>MAX(B12-22000,0)</f>
        <v>0</v>
      </c>
    </row>
    <row r="14" spans="1:7" x14ac:dyDescent="0.3">
      <c r="A14" t="s">
        <v>25</v>
      </c>
      <c r="B14" s="45">
        <v>0.05</v>
      </c>
    </row>
    <row r="15" spans="1:7" ht="15" thickBot="1" x14ac:dyDescent="0.35">
      <c r="A15" s="26" t="s">
        <v>26</v>
      </c>
      <c r="B15" s="27"/>
      <c r="C15" s="28">
        <f>B13*B14</f>
        <v>0</v>
      </c>
    </row>
    <row r="16" spans="1:7" ht="15" thickBot="1" x14ac:dyDescent="0.35">
      <c r="A16" s="7" t="s">
        <v>34</v>
      </c>
      <c r="B16" s="8"/>
      <c r="C16" s="9">
        <f>C11+C15</f>
        <v>12000</v>
      </c>
    </row>
    <row r="17" spans="1:8" ht="18.600000000000001" thickBot="1" x14ac:dyDescent="0.4">
      <c r="A17" s="89" t="s">
        <v>1</v>
      </c>
      <c r="B17" s="8"/>
      <c r="C17" s="21">
        <f>C16/12</f>
        <v>1000</v>
      </c>
    </row>
    <row r="18" spans="1:8" ht="18.600000000000001" thickBot="1" x14ac:dyDescent="0.4">
      <c r="A18" s="90" t="s">
        <v>35</v>
      </c>
      <c r="B18" s="108"/>
      <c r="C18" s="16">
        <f>ROUND(MIN(IF(C16&lt;=IF(B4=2022,6430.27,IF(B4=2023,6784.54,"ERROR"))*1.07,0,0.35*(C17-IF(B4=2022,484.62,IF(B4=2023,484.62,"ERROR"))*1.07)/IF(B4=2022,653.22,IF(B4=2023,698.3,"ERROR"))),0.7),2)</f>
        <v>0.24</v>
      </c>
    </row>
    <row r="19" spans="1:8" ht="9" customHeight="1" x14ac:dyDescent="0.3"/>
    <row r="20" spans="1:8" ht="9" customHeight="1" x14ac:dyDescent="0.3"/>
    <row r="21" spans="1:8" ht="16.2" customHeight="1" x14ac:dyDescent="0.3">
      <c r="A21" s="1"/>
      <c r="B21" s="52" t="s">
        <v>27</v>
      </c>
    </row>
    <row r="22" spans="1:8" ht="18.600000000000001" customHeight="1" x14ac:dyDescent="0.3">
      <c r="A22" s="22" t="s">
        <v>36</v>
      </c>
      <c r="B22" s="17">
        <f>IF($C$18=0,0,MAX(0,$B$9/12-IF($B$4=2022,535.86,IF($B$4=2023,565.38,"ERROR"))*(1+0.3*($B$10-1))))</f>
        <v>434.62</v>
      </c>
    </row>
    <row r="23" spans="1:8" ht="15" customHeight="1" x14ac:dyDescent="0.3">
      <c r="A23" s="22" t="s">
        <v>37</v>
      </c>
      <c r="B23" s="17">
        <f>IF(C18=0,0,B22/$C$18)</f>
        <v>1810.9166666666667</v>
      </c>
      <c r="D23" s="231"/>
      <c r="E23" s="231"/>
    </row>
    <row r="24" spans="1:8" ht="15" customHeight="1" thickBot="1" x14ac:dyDescent="0.35"/>
    <row r="25" spans="1:8" ht="15" customHeight="1" thickBot="1" x14ac:dyDescent="0.35">
      <c r="A25" s="1"/>
      <c r="B25" s="107"/>
      <c r="C25" s="106" t="s">
        <v>63</v>
      </c>
      <c r="D25" s="106" t="s">
        <v>62</v>
      </c>
      <c r="E25" s="102" t="s">
        <v>61</v>
      </c>
      <c r="F25" s="233" t="str">
        <f>+IF(AND(B26="SI",B27="SI",C27&lt;C26),"La fecha de efectos de la variación de grado no puede ser anterior a la fecha de efectos de la primera factura","")</f>
        <v/>
      </c>
      <c r="G25" s="234"/>
      <c r="H25" s="234"/>
    </row>
    <row r="26" spans="1:8" ht="15" customHeight="1" thickBot="1" x14ac:dyDescent="0.35">
      <c r="A26" s="106" t="s">
        <v>60</v>
      </c>
      <c r="B26" s="105" t="s">
        <v>58</v>
      </c>
      <c r="C26" s="104">
        <v>45383</v>
      </c>
      <c r="D26" s="103">
        <f>+IF(B27="NO",EOMONTH(C26,0),C27-1)</f>
        <v>45396</v>
      </c>
      <c r="E26" s="102">
        <f>IF(AND(B26="NO",B27="NO"),"MES COMPLETO",IF(B26="NO",D26-(D26-DAY(D26)),D26+1-C26))</f>
        <v>14</v>
      </c>
      <c r="F26" s="233"/>
      <c r="G26" s="234"/>
      <c r="H26" s="234"/>
    </row>
    <row r="27" spans="1:8" ht="16.95" customHeight="1" thickBot="1" x14ac:dyDescent="0.35">
      <c r="A27" s="106" t="s">
        <v>59</v>
      </c>
      <c r="B27" s="105" t="s">
        <v>58</v>
      </c>
      <c r="C27" s="104">
        <v>45397</v>
      </c>
      <c r="D27" s="103">
        <f>+EOMONTH(C27,0)</f>
        <v>45412</v>
      </c>
      <c r="E27" s="102">
        <f>IF(B27="NO",0,D27+1-C27)</f>
        <v>16</v>
      </c>
      <c r="F27" s="233"/>
      <c r="G27" s="234"/>
      <c r="H27" s="234"/>
    </row>
    <row r="28" spans="1:8" ht="24.6" customHeight="1" x14ac:dyDescent="0.3">
      <c r="A28" s="1" t="s">
        <v>24</v>
      </c>
    </row>
    <row r="29" spans="1:8" x14ac:dyDescent="0.3">
      <c r="A29" s="101" t="s">
        <v>57</v>
      </c>
      <c r="B29" s="47">
        <v>1</v>
      </c>
      <c r="C29" s="100"/>
      <c r="D29" s="232" t="s">
        <v>22</v>
      </c>
      <c r="E29" s="232"/>
      <c r="G29" s="71" t="s">
        <v>43</v>
      </c>
      <c r="H29" s="72"/>
    </row>
    <row r="30" spans="1:8" x14ac:dyDescent="0.3">
      <c r="A30" s="101" t="s">
        <v>56</v>
      </c>
      <c r="B30" s="47">
        <v>3</v>
      </c>
      <c r="C30" s="100"/>
      <c r="D30" s="52" t="s">
        <v>11</v>
      </c>
      <c r="E30" s="52" t="str">
        <f>A1</f>
        <v>A GUSTO EN CASA</v>
      </c>
      <c r="G30" s="73" t="s">
        <v>44</v>
      </c>
      <c r="H30" s="74">
        <f>B31</f>
        <v>950</v>
      </c>
    </row>
    <row r="31" spans="1:8" x14ac:dyDescent="0.3">
      <c r="A31" s="5" t="s">
        <v>2</v>
      </c>
      <c r="B31" s="48">
        <v>950</v>
      </c>
      <c r="C31" s="99"/>
      <c r="D31" s="78">
        <f>D33+D32</f>
        <v>701.21999999999991</v>
      </c>
      <c r="E31" s="78">
        <f>MAX(0,B31-D31)</f>
        <v>248.78000000000009</v>
      </c>
      <c r="F31" s="86"/>
      <c r="G31" s="72" t="s">
        <v>55</v>
      </c>
      <c r="H31" s="75">
        <f>E32</f>
        <v>189.07000000000008</v>
      </c>
    </row>
    <row r="32" spans="1:8" x14ac:dyDescent="0.3">
      <c r="A32" s="5" t="s">
        <v>23</v>
      </c>
      <c r="B32" s="17">
        <f>SUM(D32:E32)</f>
        <v>722</v>
      </c>
      <c r="D32" s="17">
        <f>ROUND(MIN(F40+F41, IF(C18=0,999999999,B22/C18-B22),MAX(F40+F41,B31*(F40+F41))),2)</f>
        <v>532.92999999999995</v>
      </c>
      <c r="E32" s="17">
        <f>E31-E33</f>
        <v>189.07000000000008</v>
      </c>
      <c r="G32" s="76" t="s">
        <v>45</v>
      </c>
      <c r="H32" s="77">
        <f>H30-H31</f>
        <v>760.93</v>
      </c>
    </row>
    <row r="33" spans="1:8" x14ac:dyDescent="0.3">
      <c r="A33" s="5" t="s">
        <v>3</v>
      </c>
      <c r="B33" s="17">
        <f>SUM(D33:E33)</f>
        <v>228</v>
      </c>
      <c r="C33" s="98"/>
      <c r="D33" s="17">
        <f>ROUND(IF(C18=0,0,MIN(B31-F40-F41,B22,(F40+F41)/D43-(F40+F41),C18*B31)),2)</f>
        <v>168.29</v>
      </c>
      <c r="E33" s="17">
        <f>ROUND(IF(D33&gt;B22,0,MIN(C18*E31,B22-D33)),2)</f>
        <v>59.71</v>
      </c>
      <c r="G33" s="73"/>
      <c r="H33" s="73"/>
    </row>
    <row r="34" spans="1:8" ht="15" thickBot="1" x14ac:dyDescent="0.35">
      <c r="G34" s="76" t="s">
        <v>46</v>
      </c>
      <c r="H34" s="73"/>
    </row>
    <row r="35" spans="1:8" x14ac:dyDescent="0.3">
      <c r="A35" s="14" t="s">
        <v>19</v>
      </c>
      <c r="B35" s="208" t="s">
        <v>8</v>
      </c>
      <c r="C35" s="208" t="s">
        <v>9</v>
      </c>
      <c r="D35" s="208" t="s">
        <v>10</v>
      </c>
      <c r="E35" s="13" t="s">
        <v>16</v>
      </c>
      <c r="G35" s="73" t="s">
        <v>47</v>
      </c>
      <c r="H35" s="74">
        <f>D32</f>
        <v>532.92999999999995</v>
      </c>
    </row>
    <row r="36" spans="1:8" x14ac:dyDescent="0.3">
      <c r="A36" s="12" t="s">
        <v>51</v>
      </c>
      <c r="B36" s="92">
        <v>915</v>
      </c>
      <c r="C36" s="92">
        <v>580</v>
      </c>
      <c r="D36" s="92">
        <v>385</v>
      </c>
      <c r="E36" s="18">
        <v>0</v>
      </c>
      <c r="G36" s="73" t="s">
        <v>3</v>
      </c>
      <c r="H36" s="74">
        <f>B33</f>
        <v>228</v>
      </c>
    </row>
    <row r="37" spans="1:8" x14ac:dyDescent="0.3">
      <c r="A37" s="12" t="s">
        <v>17</v>
      </c>
      <c r="B37" s="86">
        <v>1105</v>
      </c>
      <c r="C37" s="86">
        <v>903</v>
      </c>
      <c r="D37" s="86">
        <v>467</v>
      </c>
      <c r="E37" s="18">
        <v>0</v>
      </c>
    </row>
    <row r="38" spans="1:8" ht="15" thickBot="1" x14ac:dyDescent="0.35">
      <c r="A38" s="6" t="s">
        <v>18</v>
      </c>
      <c r="B38" s="19">
        <f>ROUND(MAX(MIN(B37,MAX(B36*1.038*(1.51-0.51*C17/IF(B4=2022,653.22,IF(B4=2023,698.3,614.45))),200))-G8,200),2)</f>
        <v>740.49</v>
      </c>
      <c r="C38" s="19">
        <f>ROUND(MAX(MIN(C37,MAX(1245*1.019-$C$17/IF(B4=2022,1.1485,IF(B4=2023,1.2278,1.0803)),C36*1.038*(1.51-0.51*C17/IF(B4=2022,653.22,IF(B4=2023,698.3,614.45))),150))-G8,150),2)</f>
        <v>469.38</v>
      </c>
      <c r="D38" s="19">
        <f>ROUND(MAX(MIN(D37,MAX(D36*1.038*(1.51-0.51*C17/IF(B4=2022,653.22,IF(B4=2023,698.3,614.45))),100))-G8,100),2)</f>
        <v>311.57</v>
      </c>
      <c r="E38" s="20">
        <v>0</v>
      </c>
    </row>
    <row r="39" spans="1:8" ht="15" thickBot="1" x14ac:dyDescent="0.35">
      <c r="B39" s="96"/>
      <c r="C39" s="96"/>
      <c r="D39" s="96"/>
      <c r="E39" s="96"/>
    </row>
    <row r="40" spans="1:8" ht="15" thickBot="1" x14ac:dyDescent="0.35">
      <c r="A40" s="30" t="s">
        <v>12</v>
      </c>
      <c r="B40" s="29">
        <f>C17</f>
        <v>1000</v>
      </c>
      <c r="C40" s="94" t="s">
        <v>54</v>
      </c>
      <c r="D40" s="29">
        <f>IF(B29=3,B38,IF(B29=2,C38,IF(B29=1,D38,0)))</f>
        <v>311.57</v>
      </c>
      <c r="E40" s="7" t="s">
        <v>268</v>
      </c>
      <c r="F40" s="207">
        <f>IF(AND(B27="NO",B26="NO"),D40,((D40*12)/365)*E26)</f>
        <v>143.40756164383561</v>
      </c>
    </row>
    <row r="41" spans="1:8" ht="15" thickBot="1" x14ac:dyDescent="0.35">
      <c r="A41" s="40"/>
      <c r="B41" s="95"/>
      <c r="C41" s="94" t="s">
        <v>53</v>
      </c>
      <c r="D41" s="29">
        <f>IF(B27="NO",0,IF(B30=3,B38,IF(B30=2,C38,IF(B30=1,D38,0))))</f>
        <v>740.49</v>
      </c>
      <c r="E41" s="7" t="s">
        <v>269</v>
      </c>
      <c r="F41" s="207">
        <f>IF(B27="NO",0,((D41*12)/365)*E27)</f>
        <v>389.51802739726031</v>
      </c>
    </row>
    <row r="42" spans="1:8" ht="15" thickBot="1" x14ac:dyDescent="0.35"/>
    <row r="43" spans="1:8" ht="15" thickBot="1" x14ac:dyDescent="0.35">
      <c r="C43" s="31" t="s">
        <v>13</v>
      </c>
      <c r="D43" s="93">
        <f>1-C18</f>
        <v>0.76</v>
      </c>
    </row>
  </sheetData>
  <sheetProtection sheet="1" objects="1" scenarios="1"/>
  <mergeCells count="4">
    <mergeCell ref="D23:E23"/>
    <mergeCell ref="D29:E29"/>
    <mergeCell ref="F25:H27"/>
    <mergeCell ref="E5:G8"/>
  </mergeCells>
  <conditionalFormatting sqref="E26">
    <cfRule type="expression" dxfId="7" priority="1">
      <formula>$E$26&lt;0</formula>
    </cfRule>
  </conditionalFormatting>
  <dataValidations count="4">
    <dataValidation type="list" allowBlank="1" showInputMessage="1" showErrorMessage="1" sqref="B26:B27" xr:uid="{00000000-0002-0000-0000-000000000000}">
      <formula1>"SI,NO"</formula1>
    </dataValidation>
    <dataValidation type="list" allowBlank="1" showInputMessage="1" showErrorMessage="1" sqref="B14" xr:uid="{00000000-0002-0000-0000-000001000000}">
      <formula1>"0%,3%,5%"</formula1>
    </dataValidation>
    <dataValidation type="whole" allowBlank="1" showInputMessage="1" showErrorMessage="1" sqref="B10" xr:uid="{00000000-0002-0000-0000-000002000000}">
      <formula1>1</formula1>
      <formula2>9</formula2>
    </dataValidation>
    <dataValidation type="list" allowBlank="1" showInputMessage="1" showErrorMessage="1" sqref="B4" xr:uid="{607F3CC4-9EED-46B2-9FEF-FE386AC3DE62}">
      <formula1>"2022,2023"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366B-D413-4455-BDAF-D4A1C5329C47}">
  <sheetPr>
    <pageSetUpPr fitToPage="1"/>
  </sheetPr>
  <dimension ref="A1:H71"/>
  <sheetViews>
    <sheetView zoomScaleNormal="100" workbookViewId="0"/>
  </sheetViews>
  <sheetFormatPr baseColWidth="10" defaultRowHeight="14.4" x14ac:dyDescent="0.3"/>
  <cols>
    <col min="1" max="1" width="54" customWidth="1"/>
    <col min="2" max="2" width="13.88671875" customWidth="1"/>
    <col min="3" max="3" width="12.109375" customWidth="1"/>
    <col min="4" max="4" width="12.44140625" customWidth="1"/>
    <col min="5" max="5" width="16.5546875" customWidth="1"/>
    <col min="6" max="6" width="13.5546875" customWidth="1"/>
    <col min="7" max="7" width="15.33203125" customWidth="1"/>
    <col min="8" max="8" width="13.44140625" customWidth="1"/>
  </cols>
  <sheetData>
    <row r="1" spans="1:8" ht="21" x14ac:dyDescent="0.35">
      <c r="A1" s="91" t="s">
        <v>32</v>
      </c>
      <c r="B1" s="87">
        <v>2025</v>
      </c>
      <c r="D1" s="54" t="s">
        <v>33</v>
      </c>
      <c r="E1" s="55"/>
    </row>
    <row r="2" spans="1:8" ht="15.6" x14ac:dyDescent="0.3">
      <c r="A2" s="57" t="s">
        <v>66</v>
      </c>
    </row>
    <row r="3" spans="1:8" ht="15.6" x14ac:dyDescent="0.3">
      <c r="A3" s="57" t="s">
        <v>65</v>
      </c>
    </row>
    <row r="4" spans="1:8" ht="27.75" customHeight="1" x14ac:dyDescent="0.35">
      <c r="A4" s="88" t="s">
        <v>52</v>
      </c>
      <c r="B4" s="41">
        <v>2023</v>
      </c>
      <c r="C4" s="3"/>
    </row>
    <row r="5" spans="1:8" x14ac:dyDescent="0.3">
      <c r="A5" s="84" t="s">
        <v>21</v>
      </c>
      <c r="B5" s="42">
        <v>12000</v>
      </c>
      <c r="E5" s="61" t="s">
        <v>48</v>
      </c>
      <c r="F5" s="61" t="s">
        <v>41</v>
      </c>
      <c r="G5" s="67" t="s">
        <v>283</v>
      </c>
    </row>
    <row r="6" spans="1:8" x14ac:dyDescent="0.3">
      <c r="A6" s="84" t="s">
        <v>4</v>
      </c>
      <c r="B6" s="42"/>
      <c r="E6" s="70"/>
      <c r="F6" s="66">
        <f>IF(E6="P. no contributiva",14,IF(E6="Hijo a cargo",12,IF(E6="LISMI",14,IF(E6="Gran invalidez",E8,IF(E6="Otros",E8,0)))))</f>
        <v>0</v>
      </c>
      <c r="G6" s="65">
        <f>IF(E6="P. no contributiva",282.35,IF(E6="Hijo a cargo",241.8,IF(E6="LISMI",58.45,IF(E6="Gran invalidez",E7,IF(E6="Otros",E7,0)))))</f>
        <v>0</v>
      </c>
    </row>
    <row r="7" spans="1:8" x14ac:dyDescent="0.3">
      <c r="A7" s="84" t="s">
        <v>4</v>
      </c>
      <c r="B7" s="42"/>
      <c r="D7" s="69" t="s">
        <v>42</v>
      </c>
      <c r="E7" s="59">
        <v>300</v>
      </c>
      <c r="F7" s="58"/>
      <c r="G7" s="67" t="s">
        <v>39</v>
      </c>
    </row>
    <row r="8" spans="1:8" x14ac:dyDescent="0.3">
      <c r="A8" s="85" t="s">
        <v>4</v>
      </c>
      <c r="B8" s="43"/>
      <c r="D8" s="69" t="s">
        <v>41</v>
      </c>
      <c r="E8" s="68">
        <v>14</v>
      </c>
      <c r="F8" s="58"/>
      <c r="G8" s="65">
        <f>TRUNC(G6*F6/12,2)</f>
        <v>0</v>
      </c>
    </row>
    <row r="9" spans="1:8" x14ac:dyDescent="0.3">
      <c r="A9" t="s">
        <v>49</v>
      </c>
      <c r="B9" s="2">
        <f>SUM(B5:B8)</f>
        <v>12000</v>
      </c>
    </row>
    <row r="10" spans="1:8" ht="14.4" customHeight="1" x14ac:dyDescent="0.3">
      <c r="A10" s="3" t="s">
        <v>0</v>
      </c>
      <c r="B10" s="44">
        <v>1</v>
      </c>
    </row>
    <row r="11" spans="1:8" x14ac:dyDescent="0.3">
      <c r="A11" s="23" t="s">
        <v>5</v>
      </c>
      <c r="B11" s="24"/>
      <c r="C11" s="25">
        <f>B9/B10</f>
        <v>12000</v>
      </c>
      <c r="E11" s="223" t="s">
        <v>300</v>
      </c>
      <c r="F11" s="223"/>
      <c r="G11" s="223"/>
    </row>
    <row r="12" spans="1:8" x14ac:dyDescent="0.3">
      <c r="A12" t="s">
        <v>6</v>
      </c>
      <c r="B12" s="42">
        <v>0</v>
      </c>
      <c r="E12" s="223"/>
      <c r="F12" s="223"/>
      <c r="G12" s="223"/>
    </row>
    <row r="13" spans="1:8" x14ac:dyDescent="0.3">
      <c r="A13" t="s">
        <v>7</v>
      </c>
      <c r="B13" s="2">
        <f>MAX(B12-22000,0)</f>
        <v>0</v>
      </c>
      <c r="E13" s="223"/>
      <c r="F13" s="223"/>
      <c r="G13" s="223"/>
    </row>
    <row r="14" spans="1:8" x14ac:dyDescent="0.3">
      <c r="A14" t="s">
        <v>25</v>
      </c>
      <c r="B14" s="45">
        <v>0.05</v>
      </c>
      <c r="E14" s="223"/>
      <c r="F14" s="223"/>
      <c r="G14" s="223"/>
    </row>
    <row r="15" spans="1:8" ht="15" customHeight="1" thickBot="1" x14ac:dyDescent="0.35">
      <c r="A15" s="26" t="s">
        <v>26</v>
      </c>
      <c r="B15" s="27"/>
      <c r="C15" s="28">
        <f>B13*B14</f>
        <v>0</v>
      </c>
      <c r="E15" s="223"/>
      <c r="F15" s="223"/>
      <c r="G15" s="223"/>
      <c r="H15" s="180"/>
    </row>
    <row r="16" spans="1:8" ht="15.75" customHeight="1" thickBot="1" x14ac:dyDescent="0.35">
      <c r="A16" s="7" t="s">
        <v>34</v>
      </c>
      <c r="B16" s="8"/>
      <c r="C16" s="9">
        <f>C11+C15</f>
        <v>12000</v>
      </c>
      <c r="E16" s="223"/>
      <c r="F16" s="223"/>
      <c r="G16" s="223"/>
      <c r="H16" s="180"/>
    </row>
    <row r="17" spans="1:8" ht="15" thickBot="1" x14ac:dyDescent="0.35">
      <c r="A17" s="181" t="s">
        <v>1</v>
      </c>
      <c r="B17" s="8"/>
      <c r="C17" s="21">
        <f>C16/12</f>
        <v>1000</v>
      </c>
      <c r="E17" s="223"/>
      <c r="F17" s="223"/>
      <c r="G17" s="223"/>
      <c r="H17" s="180"/>
    </row>
    <row r="18" spans="1:8" ht="15" thickBot="1" x14ac:dyDescent="0.35">
      <c r="A18" s="1" t="s">
        <v>35</v>
      </c>
      <c r="B18" s="10"/>
      <c r="C18" s="16">
        <f>ROUND(MIN(IF(C16&lt;=IF(B4=2022,6430.27,IF(B4=2023,6784.54,"ERROR"))*1.07,0,0.35*(C17-IF(B4=2022,484.62,IF(B4=2023,484.62,"ERROR"))*1.07)/IF(B4=2022,653.22,IF(B4=2023,698.3,"ERROR"))),0.7),2)</f>
        <v>0.24</v>
      </c>
      <c r="E18" s="223"/>
      <c r="F18" s="223"/>
      <c r="G18" s="223"/>
      <c r="H18" s="180"/>
    </row>
    <row r="19" spans="1:8" ht="4.95" customHeight="1" x14ac:dyDescent="0.3"/>
    <row r="20" spans="1:8" x14ac:dyDescent="0.3">
      <c r="D20" s="227" t="s">
        <v>22</v>
      </c>
      <c r="E20" s="227"/>
      <c r="F20" s="227"/>
    </row>
    <row r="21" spans="1:8" x14ac:dyDescent="0.3">
      <c r="A21" s="1"/>
      <c r="B21" s="52" t="s">
        <v>27</v>
      </c>
      <c r="D21" s="79" t="s">
        <v>11</v>
      </c>
      <c r="E21" s="79" t="str">
        <f>A1</f>
        <v>A GUSTO EN CASA</v>
      </c>
      <c r="F21" s="80" t="s">
        <v>40</v>
      </c>
    </row>
    <row r="22" spans="1:8" x14ac:dyDescent="0.3">
      <c r="A22" s="22" t="s">
        <v>36</v>
      </c>
      <c r="B22" s="17">
        <f>ROUND(IF($C$18=0,0,MAX(0,$B$9/12-IF($B$4=2022,535.86,IF($B$4=2023,565.38,"ERROR"))*(1+0.3*($B$10-1)))),2)</f>
        <v>434.62</v>
      </c>
      <c r="D22" s="81">
        <f>ROUND(D23*C18,2)</f>
        <v>148.22999999999999</v>
      </c>
      <c r="E22" s="81">
        <f>IF(C18=0,0,MAX(ROUND(B9/12-D22-IF(B4=2019,457.34,461.54)*(1+0.3*(B10-1)),2),0))</f>
        <v>390.23</v>
      </c>
      <c r="F22" s="82"/>
    </row>
    <row r="23" spans="1:8" x14ac:dyDescent="0.3">
      <c r="A23" s="22" t="s">
        <v>37</v>
      </c>
      <c r="B23" s="17">
        <f>IF(C18=0,0,B22/$C$18+G8)</f>
        <v>1810.9166666666667</v>
      </c>
      <c r="D23" s="83">
        <f>IF(C18=0,0,ROUND(D41/F41,2))</f>
        <v>617.61</v>
      </c>
      <c r="E23" s="83">
        <f>IF(C18&gt;0,E22/C18,0)</f>
        <v>1625.9583333333335</v>
      </c>
      <c r="F23" s="83">
        <f>G8</f>
        <v>0</v>
      </c>
    </row>
    <row r="25" spans="1:8" ht="9" customHeight="1" x14ac:dyDescent="0.3"/>
    <row r="26" spans="1:8" ht="15" customHeight="1" x14ac:dyDescent="0.3">
      <c r="A26" s="5" t="s">
        <v>29</v>
      </c>
      <c r="B26" s="46" t="s">
        <v>30</v>
      </c>
      <c r="C26" s="224" t="str">
        <f>IF(AND(B26="SI",B27="SI"),"No es posible mantener CEF y SAD o CD. Corrija su elección"," ")</f>
        <v xml:space="preserve"> </v>
      </c>
      <c r="D26" s="225"/>
      <c r="E26" s="225"/>
      <c r="F26" s="225"/>
      <c r="G26" s="226"/>
    </row>
    <row r="27" spans="1:8" ht="28.8" x14ac:dyDescent="0.3">
      <c r="A27" s="211" t="s">
        <v>285</v>
      </c>
      <c r="B27" s="46" t="s">
        <v>30</v>
      </c>
      <c r="C27" s="224" t="str">
        <f>IF(AND(B31&gt;0,D31=0),"Se financia todo el servicio a través del proyecto"," ")</f>
        <v xml:space="preserve"> </v>
      </c>
      <c r="D27" s="225"/>
      <c r="E27" s="225"/>
      <c r="F27" s="225"/>
      <c r="G27" s="226"/>
    </row>
    <row r="28" spans="1:8" ht="23.4" customHeight="1" x14ac:dyDescent="0.3">
      <c r="A28" s="56" t="s">
        <v>259</v>
      </c>
    </row>
    <row r="29" spans="1:8" ht="15" customHeight="1" x14ac:dyDescent="0.3">
      <c r="A29" s="1" t="s">
        <v>24</v>
      </c>
      <c r="D29" s="228" t="s">
        <v>22</v>
      </c>
      <c r="E29" s="229"/>
      <c r="F29" s="230"/>
    </row>
    <row r="30" spans="1:8" x14ac:dyDescent="0.3">
      <c r="A30" s="5" t="s">
        <v>20</v>
      </c>
      <c r="B30" s="47">
        <v>2</v>
      </c>
      <c r="D30" s="52" t="s">
        <v>11</v>
      </c>
      <c r="E30" s="52" t="str">
        <f>A1</f>
        <v>A GUSTO EN CASA</v>
      </c>
      <c r="F30" s="60" t="s">
        <v>40</v>
      </c>
    </row>
    <row r="31" spans="1:8" x14ac:dyDescent="0.3">
      <c r="A31" s="5" t="s">
        <v>2</v>
      </c>
      <c r="B31" s="48">
        <v>1000</v>
      </c>
      <c r="C31" s="62"/>
      <c r="D31" s="78">
        <f>D33+D32</f>
        <v>617.61</v>
      </c>
      <c r="E31" s="78">
        <f>MAX(0,B31-D31-F34)</f>
        <v>382.39</v>
      </c>
      <c r="F31" s="78">
        <f>F34</f>
        <v>0</v>
      </c>
    </row>
    <row r="32" spans="1:8" x14ac:dyDescent="0.3">
      <c r="A32" s="5" t="s">
        <v>23</v>
      </c>
      <c r="B32" s="17">
        <f>SUM(D32:E32)</f>
        <v>760</v>
      </c>
      <c r="D32" s="17">
        <f>ROUND(IF(OR(B26="SI",B27="SI"),0,MIN(D41,IF(C18=0,999999999,B22/C18-B22),IF((B31-G8)&lt;D40,D40,MAX(D40,(B31-G8)*F41)))),2)</f>
        <v>469.38</v>
      </c>
      <c r="E32" s="17">
        <f>E31-E33</f>
        <v>290.62</v>
      </c>
      <c r="F32" s="64"/>
    </row>
    <row r="33" spans="1:6" x14ac:dyDescent="0.3">
      <c r="A33" s="5" t="s">
        <v>3</v>
      </c>
      <c r="B33" s="17">
        <f>SUM(D33:E33)</f>
        <v>240</v>
      </c>
      <c r="D33" s="17">
        <f>ROUND(IF(OR(B26="SI",B27="SI",C18=0),0,MIN(B31-D40-F34,B22,D41/F41-D41,C18*(B31-F34))),2)</f>
        <v>148.22999999999999</v>
      </c>
      <c r="E33" s="17">
        <f>ROUND(IF(D33&gt;B22,0,MAX(0,MIN(E31-E40,C18*E31,B22-D33))),2)</f>
        <v>91.77</v>
      </c>
      <c r="F33" s="64"/>
    </row>
    <row r="34" spans="1:6" x14ac:dyDescent="0.3">
      <c r="A34" s="5" t="s">
        <v>38</v>
      </c>
      <c r="B34" s="17">
        <f>F34</f>
        <v>0</v>
      </c>
      <c r="D34" s="63"/>
      <c r="E34" s="63"/>
      <c r="F34" s="17">
        <f>IF(OR(B26="SI",B27="SI"),MIN(G8,B31-E40),MIN(G8,B31-D40))</f>
        <v>0</v>
      </c>
    </row>
    <row r="35" spans="1:6" ht="15" thickBot="1" x14ac:dyDescent="0.35"/>
    <row r="36" spans="1:6" x14ac:dyDescent="0.3">
      <c r="A36" s="14" t="s">
        <v>19</v>
      </c>
      <c r="B36" s="208" t="s">
        <v>8</v>
      </c>
      <c r="C36" s="208" t="s">
        <v>9</v>
      </c>
      <c r="D36" s="208" t="s">
        <v>10</v>
      </c>
      <c r="E36" s="13" t="s">
        <v>16</v>
      </c>
    </row>
    <row r="37" spans="1:6" x14ac:dyDescent="0.3">
      <c r="A37" s="12" t="s">
        <v>51</v>
      </c>
      <c r="B37" s="92">
        <v>915</v>
      </c>
      <c r="C37" s="92">
        <v>580</v>
      </c>
      <c r="D37" s="92">
        <v>385</v>
      </c>
      <c r="E37" s="97">
        <v>0</v>
      </c>
    </row>
    <row r="38" spans="1:6" x14ac:dyDescent="0.3">
      <c r="A38" s="12" t="s">
        <v>17</v>
      </c>
      <c r="B38" s="86">
        <v>1105</v>
      </c>
      <c r="C38" s="86">
        <v>903</v>
      </c>
      <c r="D38" s="86">
        <v>467</v>
      </c>
      <c r="E38" s="18">
        <v>0</v>
      </c>
    </row>
    <row r="39" spans="1:6" ht="15" thickBot="1" x14ac:dyDescent="0.35">
      <c r="A39" s="6" t="s">
        <v>18</v>
      </c>
      <c r="B39" s="19">
        <f>ROUND(MAX(MIN(B38,MAX(B37*1.038*(1.51-0.51*C17/IF(B4=2022,653.22,IF(B4=2023,698.3,614.45))),200))-G8,200),2)</f>
        <v>740.49</v>
      </c>
      <c r="C39" s="19">
        <f>ROUND(MAX(MIN(C38,MAX(1245*1.019-$C$17/IF(B4=2022,1.1485,IF(B4=2023,1.2278,1.0803)),C37*1.038*(1.51-0.51*C17/IF(B4=2022,653.22,IF(B4=2023,698.3,614.45))),150))-G8,150),2)</f>
        <v>469.38</v>
      </c>
      <c r="D39" s="19">
        <f>ROUND(MAX(MIN(D38,MAX(D37*1.038*(1.51-0.51*C17/IF(B4=2022,653.22,IF(B4=2023,698.3,614.45))),100))-G8,100),2)</f>
        <v>311.57</v>
      </c>
      <c r="E39" s="20">
        <v>0</v>
      </c>
    </row>
    <row r="40" spans="1:6" ht="15" thickBot="1" x14ac:dyDescent="0.35">
      <c r="A40" s="82" t="s">
        <v>284</v>
      </c>
      <c r="B40" s="4"/>
      <c r="C40" s="4"/>
      <c r="D40" s="210">
        <f>IF(OR($B$26="SI",$B$27="SI",$B$30=0),0,ROUND(MIN(IF($B$30=3,200,IF($B$30=2,150,IF($B$30=1,100,0))),$B$31*$F$41),2))</f>
        <v>150</v>
      </c>
      <c r="E40" s="210">
        <f>IF(OR(AND($B$26="no",$B$27="no"),$B$30=0),0,ROUND(MIN(IF($B$30=3,200,IF($B$30=2,150,IF($B$30=1,100,0))),$B$31*$F$41),2))</f>
        <v>0</v>
      </c>
    </row>
    <row r="41" spans="1:6" ht="15" thickBot="1" x14ac:dyDescent="0.35">
      <c r="A41" s="30" t="s">
        <v>12</v>
      </c>
      <c r="B41" s="29">
        <f>C17</f>
        <v>1000</v>
      </c>
      <c r="C41" s="31" t="s">
        <v>11</v>
      </c>
      <c r="D41" s="29">
        <f>IF(B30=3,B39,IF(B30=2,C39,IF(B30=1,D39,0)))</f>
        <v>469.38</v>
      </c>
      <c r="E41" s="31" t="s">
        <v>13</v>
      </c>
      <c r="F41" s="15">
        <f>1-C18</f>
        <v>0.76</v>
      </c>
    </row>
    <row r="43" spans="1:6" x14ac:dyDescent="0.3">
      <c r="A43" s="71" t="s">
        <v>43</v>
      </c>
      <c r="B43" s="72"/>
    </row>
    <row r="44" spans="1:6" x14ac:dyDescent="0.3">
      <c r="A44" s="73" t="s">
        <v>258</v>
      </c>
      <c r="B44" s="74">
        <f>B31</f>
        <v>1000</v>
      </c>
    </row>
    <row r="45" spans="1:6" x14ac:dyDescent="0.3">
      <c r="A45" s="72" t="s">
        <v>50</v>
      </c>
      <c r="B45" s="75">
        <f>E32</f>
        <v>290.62</v>
      </c>
    </row>
    <row r="46" spans="1:6" x14ac:dyDescent="0.3">
      <c r="A46" s="76" t="s">
        <v>45</v>
      </c>
      <c r="B46" s="77">
        <f>B44-B45</f>
        <v>709.38</v>
      </c>
    </row>
    <row r="47" spans="1:6" x14ac:dyDescent="0.3">
      <c r="A47" s="73"/>
      <c r="B47" s="73"/>
    </row>
    <row r="48" spans="1:6" x14ac:dyDescent="0.3">
      <c r="A48" s="71" t="s">
        <v>257</v>
      </c>
      <c r="B48" s="72"/>
    </row>
    <row r="49" spans="1:8" x14ac:dyDescent="0.3">
      <c r="A49" s="73" t="s">
        <v>256</v>
      </c>
      <c r="B49" s="179">
        <v>292.55</v>
      </c>
    </row>
    <row r="50" spans="1:8" x14ac:dyDescent="0.3">
      <c r="A50" s="72" t="s">
        <v>255</v>
      </c>
      <c r="B50" s="179">
        <v>925</v>
      </c>
    </row>
    <row r="51" spans="1:8" x14ac:dyDescent="0.3">
      <c r="A51" s="73" t="s">
        <v>254</v>
      </c>
      <c r="B51" s="77">
        <f>SUM(B49:B50)</f>
        <v>1217.55</v>
      </c>
    </row>
    <row r="52" spans="1:8" x14ac:dyDescent="0.3">
      <c r="A52" s="73" t="s">
        <v>50</v>
      </c>
      <c r="B52" s="74">
        <f>B51-B59</f>
        <v>927.48</v>
      </c>
    </row>
    <row r="53" spans="1:8" ht="15" thickBot="1" x14ac:dyDescent="0.35">
      <c r="A53" s="73"/>
      <c r="B53" s="74"/>
    </row>
    <row r="54" spans="1:8" ht="15" thickBot="1" x14ac:dyDescent="0.35">
      <c r="A54" s="178" t="s">
        <v>253</v>
      </c>
      <c r="B54" s="177">
        <f>B44+B51</f>
        <v>2217.5500000000002</v>
      </c>
    </row>
    <row r="55" spans="1:8" x14ac:dyDescent="0.3">
      <c r="A55" s="73"/>
      <c r="B55" s="74"/>
    </row>
    <row r="56" spans="1:8" x14ac:dyDescent="0.3">
      <c r="A56" s="176" t="s">
        <v>46</v>
      </c>
      <c r="B56" s="175"/>
    </row>
    <row r="57" spans="1:8" x14ac:dyDescent="0.3">
      <c r="A57" s="76" t="s">
        <v>252</v>
      </c>
      <c r="B57" s="73"/>
    </row>
    <row r="58" spans="1:8" x14ac:dyDescent="0.3">
      <c r="A58" s="73" t="s">
        <v>251</v>
      </c>
      <c r="B58" s="74">
        <f>B33</f>
        <v>240</v>
      </c>
      <c r="H58" s="86"/>
    </row>
    <row r="59" spans="1:8" x14ac:dyDescent="0.3">
      <c r="A59" s="73" t="s">
        <v>250</v>
      </c>
      <c r="B59" s="74">
        <f>MIN(B51,MAX($B$9/12-$B$58-IF($B$4=2019,457.34,IF($B$4=2020,461.54,469.93))*(1+0.3*($B$10-1)),0))</f>
        <v>290.07</v>
      </c>
      <c r="H59" s="86"/>
    </row>
    <row r="60" spans="1:8" x14ac:dyDescent="0.3">
      <c r="A60" s="73" t="s">
        <v>48</v>
      </c>
      <c r="B60" s="74">
        <f>F34</f>
        <v>0</v>
      </c>
    </row>
    <row r="61" spans="1:8" x14ac:dyDescent="0.3">
      <c r="A61" s="73" t="s">
        <v>47</v>
      </c>
      <c r="B61" s="74">
        <f>D32</f>
        <v>469.38</v>
      </c>
    </row>
    <row r="62" spans="1:8" x14ac:dyDescent="0.3">
      <c r="A62" s="73" t="s">
        <v>249</v>
      </c>
      <c r="B62" s="74">
        <f>B45+B52</f>
        <v>1218.0999999999999</v>
      </c>
    </row>
    <row r="64" spans="1:8" x14ac:dyDescent="0.3">
      <c r="A64" s="76" t="s">
        <v>248</v>
      </c>
      <c r="B64" s="74"/>
    </row>
    <row r="65" spans="1:2" x14ac:dyDescent="0.3">
      <c r="A65" s="174" t="s">
        <v>247</v>
      </c>
      <c r="B65" s="74"/>
    </row>
    <row r="66" spans="1:2" x14ac:dyDescent="0.3">
      <c r="A66" s="73" t="s">
        <v>246</v>
      </c>
      <c r="B66" s="74">
        <f>B61</f>
        <v>469.38</v>
      </c>
    </row>
    <row r="67" spans="1:2" x14ac:dyDescent="0.3">
      <c r="A67" s="173" t="s">
        <v>245</v>
      </c>
      <c r="B67" s="74">
        <f>MAX(B52-B46,0)</f>
        <v>218.10000000000002</v>
      </c>
    </row>
    <row r="68" spans="1:2" x14ac:dyDescent="0.3">
      <c r="A68" s="174" t="s">
        <v>244</v>
      </c>
      <c r="B68" s="74"/>
    </row>
    <row r="69" spans="1:2" x14ac:dyDescent="0.3">
      <c r="A69" s="73" t="s">
        <v>243</v>
      </c>
      <c r="B69" s="74">
        <f>B49</f>
        <v>292.55</v>
      </c>
    </row>
    <row r="70" spans="1:2" x14ac:dyDescent="0.3">
      <c r="A70" s="73" t="s">
        <v>242</v>
      </c>
      <c r="B70" s="74">
        <f>B50</f>
        <v>925</v>
      </c>
    </row>
    <row r="71" spans="1:2" x14ac:dyDescent="0.3">
      <c r="A71" s="173" t="s">
        <v>241</v>
      </c>
      <c r="B71" s="74">
        <f>MAX(B46-B52,0)</f>
        <v>0</v>
      </c>
    </row>
  </sheetData>
  <sheetProtection sheet="1" objects="1" scenarios="1"/>
  <mergeCells count="5">
    <mergeCell ref="E11:G18"/>
    <mergeCell ref="C26:G26"/>
    <mergeCell ref="C27:G27"/>
    <mergeCell ref="D20:F20"/>
    <mergeCell ref="D29:F29"/>
  </mergeCells>
  <conditionalFormatting sqref="D7">
    <cfRule type="expression" dxfId="6" priority="3">
      <formula>$E$6="Otros"</formula>
    </cfRule>
  </conditionalFormatting>
  <conditionalFormatting sqref="D7:D8">
    <cfRule type="expression" dxfId="5" priority="6">
      <formula>$E$6="Gran invalidez"</formula>
    </cfRule>
  </conditionalFormatting>
  <conditionalFormatting sqref="D8">
    <cfRule type="expression" dxfId="4" priority="2">
      <formula>$E$6="Otros"</formula>
    </cfRule>
  </conditionalFormatting>
  <conditionalFormatting sqref="E7">
    <cfRule type="expression" dxfId="3" priority="7" stopIfTrue="1">
      <formula>$E$6="Gran invalidez"</formula>
    </cfRule>
  </conditionalFormatting>
  <conditionalFormatting sqref="E7:E8">
    <cfRule type="expression" dxfId="2" priority="1">
      <formula>$E$6="Otros"</formula>
    </cfRule>
  </conditionalFormatting>
  <conditionalFormatting sqref="E8">
    <cfRule type="expression" dxfId="1" priority="5" stopIfTrue="1">
      <formula>$E$6="Gran invalidez"</formula>
    </cfRule>
  </conditionalFormatting>
  <conditionalFormatting sqref="E11">
    <cfRule type="expression" dxfId="0" priority="4">
      <formula>AND($G$6&gt;0,OR($B$26="SI",$B$27="SI"))</formula>
    </cfRule>
  </conditionalFormatting>
  <dataValidations count="7">
    <dataValidation type="whole" allowBlank="1" showInputMessage="1" showErrorMessage="1" sqref="B10" xr:uid="{00000000-0002-0000-0100-000000000000}">
      <formula1>1</formula1>
      <formula2>9</formula2>
    </dataValidation>
    <dataValidation type="list" allowBlank="1" showInputMessage="1" showErrorMessage="1" sqref="B14" xr:uid="{00000000-0002-0000-0100-000001000000}">
      <formula1>"0%,3%,5%"</formula1>
    </dataValidation>
    <dataValidation type="list" allowBlank="1" showInputMessage="1" showErrorMessage="1" sqref="B26:B27" xr:uid="{B7534C47-27B2-4F13-BF5D-5ABC0279CF9F}">
      <formula1>"SI,NO"</formula1>
    </dataValidation>
    <dataValidation type="list" allowBlank="1" showInputMessage="1" showErrorMessage="1" sqref="E8" xr:uid="{00000000-0002-0000-0100-000005000000}">
      <formula1>"12,14"</formula1>
    </dataValidation>
    <dataValidation type="list" allowBlank="1" showInputMessage="1" showErrorMessage="1" sqref="E6" xr:uid="{00000000-0002-0000-0100-000006000000}">
      <formula1>"--,P. no contributiva,Hijo a cargo,LISMI,Gran invalidez,Otros"</formula1>
    </dataValidation>
    <dataValidation type="decimal" allowBlank="1" showInputMessage="1" showErrorMessage="1" error="El usuario debe introducir un valor númerico superior a 0,00 e inferior al complemento máximo de gran invalidez" sqref="E7" xr:uid="{00000000-0002-0000-0100-000007000000}">
      <formula1>0.01</formula1>
      <formula2>1700</formula2>
    </dataValidation>
    <dataValidation type="list" allowBlank="1" showInputMessage="1" showErrorMessage="1" sqref="B4" xr:uid="{E454B81E-822F-45DC-B31C-C55B61D39F2F}">
      <formula1>"2022,2023"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713A-7F73-45CC-9E40-1B7F779B767A}">
  <dimension ref="A1:K67"/>
  <sheetViews>
    <sheetView workbookViewId="0">
      <pane ySplit="2" topLeftCell="A3" activePane="bottomLeft" state="frozen"/>
      <selection pane="bottomLeft" activeCell="A6" sqref="A6"/>
    </sheetView>
  </sheetViews>
  <sheetFormatPr baseColWidth="10" defaultColWidth="10.33203125" defaultRowHeight="10.199999999999999" x14ac:dyDescent="0.2"/>
  <cols>
    <col min="1" max="1" width="48.21875" style="166" customWidth="1"/>
    <col min="2" max="4" width="7.88671875" style="166" customWidth="1"/>
    <col min="5" max="5" width="3.33203125" style="166" customWidth="1"/>
    <col min="6" max="10" width="10.21875" style="168" customWidth="1"/>
    <col min="11" max="11" width="34.5546875" style="167" bestFit="1" customWidth="1"/>
    <col min="12" max="16384" width="10.33203125" style="166"/>
  </cols>
  <sheetData>
    <row r="1" spans="1:11" ht="14.4" customHeight="1" x14ac:dyDescent="0.2">
      <c r="A1" s="205" t="s">
        <v>240</v>
      </c>
      <c r="B1" s="244" t="s">
        <v>299</v>
      </c>
      <c r="C1" s="244"/>
      <c r="D1" s="244"/>
      <c r="E1" s="204"/>
      <c r="F1" s="245" t="s">
        <v>298</v>
      </c>
      <c r="G1" s="245"/>
      <c r="H1" s="245"/>
      <c r="I1" s="245"/>
      <c r="J1" s="245"/>
    </row>
    <row r="2" spans="1:11" x14ac:dyDescent="0.2">
      <c r="A2" s="190" t="s">
        <v>239</v>
      </c>
      <c r="B2" s="187">
        <v>2021</v>
      </c>
      <c r="C2" s="189">
        <v>2022</v>
      </c>
      <c r="D2" s="185">
        <v>2023</v>
      </c>
      <c r="E2" s="188"/>
      <c r="F2" s="187">
        <v>2021</v>
      </c>
      <c r="G2" s="186">
        <v>2022</v>
      </c>
      <c r="H2" s="185">
        <v>2023</v>
      </c>
      <c r="I2" s="184">
        <v>2024</v>
      </c>
      <c r="J2" s="222">
        <v>2025</v>
      </c>
      <c r="K2" s="183" t="s">
        <v>158</v>
      </c>
    </row>
    <row r="3" spans="1:11" x14ac:dyDescent="0.2">
      <c r="E3" s="169"/>
    </row>
    <row r="4" spans="1:11" s="171" customFormat="1" ht="15" customHeight="1" x14ac:dyDescent="0.25">
      <c r="A4" s="201" t="s">
        <v>238</v>
      </c>
      <c r="B4" s="171">
        <v>9655.7999999999993</v>
      </c>
      <c r="C4" s="171">
        <v>10256.4</v>
      </c>
      <c r="D4" s="171">
        <v>10963.400000000003</v>
      </c>
      <c r="E4" s="217"/>
      <c r="F4" s="171">
        <v>689.7</v>
      </c>
      <c r="G4" s="171">
        <v>721.7</v>
      </c>
      <c r="H4" s="168">
        <v>783.1</v>
      </c>
      <c r="I4" s="168">
        <v>825.2</v>
      </c>
      <c r="J4" s="168">
        <v>874.4</v>
      </c>
      <c r="K4" s="168"/>
    </row>
    <row r="5" spans="1:11" s="171" customFormat="1" ht="15" customHeight="1" x14ac:dyDescent="0.25">
      <c r="A5" s="201" t="s">
        <v>297</v>
      </c>
      <c r="E5" s="217"/>
      <c r="F5" s="170"/>
      <c r="G5" s="170">
        <v>28</v>
      </c>
      <c r="H5" s="191">
        <v>30.4</v>
      </c>
      <c r="I5" s="191">
        <v>33.200000000000003</v>
      </c>
      <c r="J5" s="168">
        <v>35.9</v>
      </c>
      <c r="K5" s="168"/>
    </row>
    <row r="6" spans="1:11" s="171" customFormat="1" ht="15" customHeight="1" x14ac:dyDescent="0.25">
      <c r="A6" s="201" t="s">
        <v>296</v>
      </c>
      <c r="C6" s="171">
        <f t="shared" ref="C6:D9" si="0">+G6*14</f>
        <v>10495.800000000001</v>
      </c>
      <c r="D6" s="171">
        <f t="shared" si="0"/>
        <v>11389</v>
      </c>
      <c r="E6" s="217"/>
      <c r="G6" s="171">
        <f>+G4+G5</f>
        <v>749.7</v>
      </c>
      <c r="H6" s="171">
        <f>+H4+H5</f>
        <v>813.5</v>
      </c>
      <c r="I6" s="171">
        <f>+I4+I5</f>
        <v>858.40000000000009</v>
      </c>
      <c r="J6" s="171">
        <f>+J4+J5</f>
        <v>910.3</v>
      </c>
      <c r="K6" s="168"/>
    </row>
    <row r="7" spans="1:11" s="171" customFormat="1" ht="15" customHeight="1" x14ac:dyDescent="0.25">
      <c r="A7" s="201" t="s">
        <v>295</v>
      </c>
      <c r="C7" s="171">
        <f t="shared" si="0"/>
        <v>10887.800000000001</v>
      </c>
      <c r="D7" s="171">
        <f t="shared" si="0"/>
        <v>11814.6</v>
      </c>
      <c r="E7" s="217"/>
      <c r="G7" s="171">
        <f>+G4+(G5*2)</f>
        <v>777.7</v>
      </c>
      <c r="H7" s="171">
        <f>+H4+(H5*2)</f>
        <v>843.9</v>
      </c>
      <c r="I7" s="171">
        <f>+I4+(I5*2)</f>
        <v>891.6</v>
      </c>
      <c r="J7" s="171">
        <f>+J4+(J5*2)</f>
        <v>946.19999999999993</v>
      </c>
      <c r="K7" s="168"/>
    </row>
    <row r="8" spans="1:11" s="171" customFormat="1" ht="15" customHeight="1" x14ac:dyDescent="0.25">
      <c r="A8" s="201" t="s">
        <v>294</v>
      </c>
      <c r="C8" s="171">
        <f t="shared" si="0"/>
        <v>11279.800000000001</v>
      </c>
      <c r="D8" s="171">
        <f t="shared" si="0"/>
        <v>12240.199999999999</v>
      </c>
      <c r="E8" s="217"/>
      <c r="G8" s="171">
        <f>+G4+(G5*3)</f>
        <v>805.7</v>
      </c>
      <c r="H8" s="171">
        <f>+H4+(H5*3)</f>
        <v>874.3</v>
      </c>
      <c r="I8" s="171">
        <f>+I4+(I5*3)</f>
        <v>924.80000000000007</v>
      </c>
      <c r="J8" s="171">
        <f>+J4+(J5*3)</f>
        <v>982.09999999999991</v>
      </c>
      <c r="K8" s="168"/>
    </row>
    <row r="9" spans="1:11" s="171" customFormat="1" ht="15" customHeight="1" x14ac:dyDescent="0.25">
      <c r="A9" s="201" t="s">
        <v>293</v>
      </c>
      <c r="C9" s="171">
        <f t="shared" si="0"/>
        <v>11671.800000000001</v>
      </c>
      <c r="D9" s="171">
        <f t="shared" si="0"/>
        <v>12665.800000000001</v>
      </c>
      <c r="E9" s="217"/>
      <c r="G9" s="171">
        <f>+G4+(G5*4)</f>
        <v>833.7</v>
      </c>
      <c r="H9" s="171">
        <f>+H4+(H5*4)</f>
        <v>904.7</v>
      </c>
      <c r="I9" s="171">
        <f>+I4+(I5*4)</f>
        <v>958</v>
      </c>
      <c r="J9" s="171">
        <f>+J4+(J5*4)</f>
        <v>1018</v>
      </c>
      <c r="K9" s="168"/>
    </row>
    <row r="10" spans="1:11" s="171" customFormat="1" ht="15" customHeight="1" x14ac:dyDescent="0.2">
      <c r="A10" s="171" t="s">
        <v>237</v>
      </c>
      <c r="B10" s="171">
        <v>11170.6</v>
      </c>
      <c r="C10" s="171">
        <v>11865</v>
      </c>
      <c r="D10" s="171">
        <v>12682.6</v>
      </c>
      <c r="E10" s="217"/>
      <c r="F10" s="171">
        <v>797.9</v>
      </c>
      <c r="G10" s="171">
        <v>834.93</v>
      </c>
      <c r="H10" s="168">
        <v>905.9</v>
      </c>
      <c r="I10" s="168">
        <v>1033.3</v>
      </c>
      <c r="J10" s="168">
        <v>1127.5999999999999</v>
      </c>
      <c r="K10" s="203"/>
    </row>
    <row r="11" spans="1:11" s="171" customFormat="1" ht="15" customHeight="1" x14ac:dyDescent="0.2">
      <c r="A11" s="171" t="s">
        <v>236</v>
      </c>
      <c r="B11" s="171">
        <v>9034.2000000000007</v>
      </c>
      <c r="C11" s="171">
        <v>9595.6</v>
      </c>
      <c r="D11" s="171">
        <v>10256.4</v>
      </c>
      <c r="E11" s="217"/>
      <c r="F11" s="171">
        <v>645.29999999999995</v>
      </c>
      <c r="G11" s="171">
        <v>675.2</v>
      </c>
      <c r="H11" s="168">
        <v>732.6</v>
      </c>
      <c r="I11" s="168">
        <v>772</v>
      </c>
      <c r="J11" s="168">
        <v>818</v>
      </c>
      <c r="K11" s="168"/>
    </row>
    <row r="12" spans="1:11" s="171" customFormat="1" x14ac:dyDescent="0.2">
      <c r="A12" s="171" t="s">
        <v>235</v>
      </c>
      <c r="B12" s="171">
        <v>7315</v>
      </c>
      <c r="C12" s="171">
        <v>7771.4</v>
      </c>
      <c r="D12" s="171">
        <v>8306.1999999999989</v>
      </c>
      <c r="E12" s="217"/>
      <c r="F12" s="171">
        <v>522.5</v>
      </c>
      <c r="G12" s="171">
        <v>546.79999999999995</v>
      </c>
      <c r="H12" s="168">
        <v>593.29999999999995</v>
      </c>
      <c r="I12" s="168">
        <v>625.20000000000005</v>
      </c>
      <c r="J12" s="168">
        <v>662.5</v>
      </c>
      <c r="K12" s="168"/>
    </row>
    <row r="13" spans="1:11" s="171" customFormat="1" ht="12" x14ac:dyDescent="0.25">
      <c r="A13" s="194" t="s">
        <v>234</v>
      </c>
      <c r="B13" s="171">
        <v>9164.4</v>
      </c>
      <c r="C13" s="171">
        <v>9735.6</v>
      </c>
      <c r="D13" s="171">
        <v>10406.199999999999</v>
      </c>
      <c r="E13" s="217"/>
      <c r="F13" s="171">
        <v>654.6</v>
      </c>
      <c r="G13" s="171">
        <v>685</v>
      </c>
      <c r="H13" s="168">
        <v>743.3</v>
      </c>
      <c r="I13" s="168">
        <v>783.3</v>
      </c>
      <c r="J13" s="168">
        <v>830</v>
      </c>
      <c r="K13" s="168"/>
    </row>
    <row r="14" spans="1:11" s="171" customFormat="1" ht="12" x14ac:dyDescent="0.25">
      <c r="A14" s="201" t="s">
        <v>296</v>
      </c>
      <c r="C14" s="171">
        <f t="shared" ref="C14:D17" si="1">+G14*14</f>
        <v>9982</v>
      </c>
      <c r="D14" s="171">
        <f t="shared" si="1"/>
        <v>10831.8</v>
      </c>
      <c r="E14" s="217"/>
      <c r="G14" s="171">
        <f>+G13+G5</f>
        <v>713</v>
      </c>
      <c r="H14" s="171">
        <f>+H13+H5</f>
        <v>773.69999999999993</v>
      </c>
      <c r="I14" s="171">
        <f>+I13+I5</f>
        <v>816.5</v>
      </c>
      <c r="J14" s="171">
        <f>+J13+J5</f>
        <v>865.9</v>
      </c>
      <c r="K14" s="168"/>
    </row>
    <row r="15" spans="1:11" s="171" customFormat="1" ht="12" x14ac:dyDescent="0.25">
      <c r="A15" s="201" t="s">
        <v>295</v>
      </c>
      <c r="C15" s="171">
        <f t="shared" si="1"/>
        <v>10374</v>
      </c>
      <c r="D15" s="171">
        <f t="shared" si="1"/>
        <v>11257.399999999998</v>
      </c>
      <c r="E15" s="217"/>
      <c r="G15" s="171">
        <f>+G13+(G5*2)</f>
        <v>741</v>
      </c>
      <c r="H15" s="171">
        <f>+H13+(H5*2)</f>
        <v>804.09999999999991</v>
      </c>
      <c r="I15" s="171">
        <f>+I13+(I5*2)</f>
        <v>849.69999999999993</v>
      </c>
      <c r="J15" s="171">
        <f>+J13+(J5*2)</f>
        <v>901.8</v>
      </c>
      <c r="K15" s="168"/>
    </row>
    <row r="16" spans="1:11" s="171" customFormat="1" ht="12" x14ac:dyDescent="0.25">
      <c r="A16" s="201" t="s">
        <v>294</v>
      </c>
      <c r="C16" s="171">
        <f t="shared" si="1"/>
        <v>10766</v>
      </c>
      <c r="D16" s="171">
        <f t="shared" si="1"/>
        <v>11683</v>
      </c>
      <c r="E16" s="217"/>
      <c r="G16" s="171">
        <f>+G13+(G5*3)</f>
        <v>769</v>
      </c>
      <c r="H16" s="171">
        <f>+H13+(H5*3)</f>
        <v>834.5</v>
      </c>
      <c r="I16" s="171">
        <f>+I13+(I5*3)</f>
        <v>882.9</v>
      </c>
      <c r="J16" s="171">
        <f>+J13+(J5*3)</f>
        <v>937.7</v>
      </c>
      <c r="K16" s="168"/>
    </row>
    <row r="17" spans="1:11" s="171" customFormat="1" ht="12" x14ac:dyDescent="0.25">
      <c r="A17" s="201" t="s">
        <v>293</v>
      </c>
      <c r="C17" s="171">
        <f t="shared" si="1"/>
        <v>11158</v>
      </c>
      <c r="D17" s="171">
        <f t="shared" si="1"/>
        <v>12108.6</v>
      </c>
      <c r="E17" s="217"/>
      <c r="G17" s="171">
        <f>+G13+(G5*4)</f>
        <v>797</v>
      </c>
      <c r="H17" s="171">
        <f>+H13+(H5*4)</f>
        <v>864.9</v>
      </c>
      <c r="I17" s="171">
        <f>+I13+(I5*4)</f>
        <v>916.09999999999991</v>
      </c>
      <c r="J17" s="171">
        <f>+J13+(J5*4)</f>
        <v>973.6</v>
      </c>
      <c r="K17" s="168"/>
    </row>
    <row r="18" spans="1:11" s="171" customFormat="1" x14ac:dyDescent="0.2">
      <c r="A18" s="171" t="s">
        <v>233</v>
      </c>
      <c r="B18" s="171">
        <v>9655.7999999999993</v>
      </c>
      <c r="C18" s="171">
        <v>10256.4</v>
      </c>
      <c r="D18" s="171">
        <v>10963.4</v>
      </c>
      <c r="E18" s="217"/>
      <c r="F18" s="171">
        <v>689.7</v>
      </c>
      <c r="G18" s="171">
        <v>721.7</v>
      </c>
      <c r="H18" s="168">
        <v>783.1</v>
      </c>
      <c r="I18" s="168">
        <v>825.2</v>
      </c>
      <c r="J18" s="168">
        <v>874.4</v>
      </c>
      <c r="K18" s="168"/>
    </row>
    <row r="19" spans="1:11" s="171" customFormat="1" x14ac:dyDescent="0.2">
      <c r="A19" s="171" t="s">
        <v>232</v>
      </c>
      <c r="B19" s="171">
        <v>11914</v>
      </c>
      <c r="C19" s="171">
        <v>12656</v>
      </c>
      <c r="D19" s="171">
        <v>13526.800000000001</v>
      </c>
      <c r="E19" s="217"/>
      <c r="F19" s="171">
        <v>851</v>
      </c>
      <c r="G19" s="171">
        <v>890.5</v>
      </c>
      <c r="H19" s="168">
        <v>966.2</v>
      </c>
      <c r="I19" s="168">
        <v>1033.3</v>
      </c>
      <c r="J19" s="168">
        <v>1127.5999999999999</v>
      </c>
      <c r="K19" s="168"/>
    </row>
    <row r="20" spans="1:11" s="171" customFormat="1" ht="16.2" customHeight="1" x14ac:dyDescent="0.25">
      <c r="A20" s="193" t="s">
        <v>231</v>
      </c>
      <c r="B20" s="171">
        <v>8538.6</v>
      </c>
      <c r="C20" s="171">
        <v>9070.6</v>
      </c>
      <c r="D20" s="171">
        <v>9695</v>
      </c>
      <c r="E20" s="217"/>
      <c r="F20" s="171">
        <v>609.9</v>
      </c>
      <c r="G20" s="171">
        <v>638.20000000000005</v>
      </c>
      <c r="H20" s="168">
        <v>692.5</v>
      </c>
      <c r="I20" s="168">
        <v>729.7</v>
      </c>
      <c r="J20" s="168">
        <v>773.2</v>
      </c>
      <c r="K20" s="168"/>
    </row>
    <row r="21" spans="1:11" s="171" customFormat="1" ht="16.2" customHeight="1" x14ac:dyDescent="0.2">
      <c r="A21" s="171" t="s">
        <v>230</v>
      </c>
      <c r="B21" s="171">
        <v>9034.2000000000007</v>
      </c>
      <c r="C21" s="171">
        <v>9595.6</v>
      </c>
      <c r="D21" s="171">
        <v>10256.4</v>
      </c>
      <c r="E21" s="217"/>
      <c r="F21" s="171">
        <v>645.29999999999995</v>
      </c>
      <c r="G21" s="171">
        <v>675.2</v>
      </c>
      <c r="H21" s="168">
        <v>732.6</v>
      </c>
      <c r="I21" s="168">
        <v>772</v>
      </c>
      <c r="J21" s="168">
        <v>818</v>
      </c>
      <c r="K21" s="168"/>
    </row>
    <row r="22" spans="1:11" s="171" customFormat="1" x14ac:dyDescent="0.2">
      <c r="A22" s="171" t="s">
        <v>229</v>
      </c>
      <c r="B22" s="171">
        <v>11170.6</v>
      </c>
      <c r="C22" s="171">
        <v>11865</v>
      </c>
      <c r="D22" s="171">
        <v>12682.6</v>
      </c>
      <c r="E22" s="217"/>
      <c r="F22" s="171">
        <v>797.9</v>
      </c>
      <c r="G22" s="171">
        <v>834.9</v>
      </c>
      <c r="H22" s="168">
        <v>905.9</v>
      </c>
      <c r="I22" s="168">
        <v>1033.3</v>
      </c>
      <c r="J22" s="168">
        <v>1127.5999999999999</v>
      </c>
      <c r="K22" s="168"/>
    </row>
    <row r="23" spans="1:11" s="171" customFormat="1" ht="12" x14ac:dyDescent="0.25">
      <c r="A23" s="194" t="s">
        <v>228</v>
      </c>
      <c r="B23" s="171">
        <v>14484.4</v>
      </c>
      <c r="C23" s="171">
        <v>15384.6</v>
      </c>
      <c r="D23" s="171">
        <v>16445.8</v>
      </c>
      <c r="E23" s="217"/>
      <c r="F23" s="171">
        <v>1034.3</v>
      </c>
      <c r="G23" s="171">
        <v>1082.5999999999999</v>
      </c>
      <c r="H23" s="168">
        <v>1174.7</v>
      </c>
      <c r="I23" s="168">
        <v>1237.8</v>
      </c>
      <c r="J23" s="168">
        <v>1311.6</v>
      </c>
      <c r="K23" s="191" t="s">
        <v>226</v>
      </c>
    </row>
    <row r="24" spans="1:11" x14ac:dyDescent="0.2">
      <c r="A24" s="171" t="s">
        <v>227</v>
      </c>
      <c r="B24" s="171">
        <v>17871</v>
      </c>
      <c r="C24" s="171">
        <v>18985.400000000001</v>
      </c>
      <c r="D24" s="171">
        <v>20290.2</v>
      </c>
      <c r="E24" s="217"/>
      <c r="F24" s="171">
        <v>1276.5</v>
      </c>
      <c r="G24" s="171">
        <v>1335.79</v>
      </c>
      <c r="H24" s="168">
        <v>1449.3</v>
      </c>
      <c r="I24" s="168">
        <v>1549.9</v>
      </c>
      <c r="J24" s="168">
        <v>1691.3</v>
      </c>
      <c r="K24" s="191" t="s">
        <v>226</v>
      </c>
    </row>
    <row r="25" spans="1:11" x14ac:dyDescent="0.2">
      <c r="A25" s="171" t="s">
        <v>225</v>
      </c>
      <c r="B25" s="171">
        <v>13746.6</v>
      </c>
      <c r="C25" s="171">
        <v>14603.4</v>
      </c>
      <c r="D25" s="171">
        <v>15610</v>
      </c>
      <c r="E25" s="217"/>
      <c r="F25" s="171">
        <v>981.9</v>
      </c>
      <c r="G25" s="171">
        <v>1027.5</v>
      </c>
      <c r="H25" s="168">
        <v>1115</v>
      </c>
      <c r="I25" s="168">
        <v>1174.9000000000001</v>
      </c>
      <c r="J25" s="168">
        <v>1245</v>
      </c>
      <c r="K25" s="191"/>
    </row>
    <row r="26" spans="1:11" s="171" customFormat="1" ht="16.2" customHeight="1" x14ac:dyDescent="0.2">
      <c r="A26" s="193" t="s">
        <v>224</v>
      </c>
      <c r="B26" s="221">
        <v>6183.8</v>
      </c>
      <c r="C26" s="221">
        <v>6568.8</v>
      </c>
      <c r="D26" s="171">
        <v>7021</v>
      </c>
      <c r="E26" s="220"/>
      <c r="F26" s="219">
        <v>441.7</v>
      </c>
      <c r="G26" s="219">
        <v>462.2</v>
      </c>
      <c r="H26" s="218">
        <v>501.5</v>
      </c>
      <c r="I26" s="218">
        <v>528.5</v>
      </c>
      <c r="J26" s="168">
        <v>560</v>
      </c>
      <c r="K26" s="202"/>
    </row>
    <row r="27" spans="1:11" s="171" customFormat="1" ht="23.25" customHeight="1" x14ac:dyDescent="0.2">
      <c r="A27" s="171" t="s">
        <v>223</v>
      </c>
      <c r="B27" s="221">
        <v>6001.8</v>
      </c>
      <c r="C27" s="221">
        <v>6375.6</v>
      </c>
      <c r="D27" s="171">
        <v>6815.2</v>
      </c>
      <c r="E27" s="220"/>
      <c r="F27" s="219">
        <v>428.7</v>
      </c>
      <c r="G27" s="219">
        <v>448.6</v>
      </c>
      <c r="H27" s="218">
        <v>486.8</v>
      </c>
      <c r="I27" s="218">
        <v>513</v>
      </c>
      <c r="J27" s="168">
        <v>543.6</v>
      </c>
      <c r="K27" s="202" t="s">
        <v>292</v>
      </c>
    </row>
    <row r="28" spans="1:11" s="171" customFormat="1" x14ac:dyDescent="0.2">
      <c r="A28" s="166"/>
      <c r="B28" s="166"/>
      <c r="C28" s="166"/>
      <c r="D28" s="166"/>
      <c r="E28" s="169"/>
      <c r="F28" s="168"/>
      <c r="G28" s="168"/>
      <c r="H28" s="168"/>
      <c r="I28" s="168"/>
      <c r="J28" s="168"/>
      <c r="K28" s="167"/>
    </row>
    <row r="29" spans="1:11" s="171" customFormat="1" ht="17.399999999999999" customHeight="1" x14ac:dyDescent="0.2">
      <c r="A29" s="190" t="s">
        <v>222</v>
      </c>
      <c r="B29" s="187">
        <v>2021</v>
      </c>
      <c r="C29" s="189">
        <v>2022</v>
      </c>
      <c r="D29" s="185">
        <v>2023</v>
      </c>
      <c r="E29" s="188"/>
      <c r="F29" s="187">
        <v>2021</v>
      </c>
      <c r="G29" s="186">
        <v>2022</v>
      </c>
      <c r="H29" s="185">
        <v>2023</v>
      </c>
      <c r="I29" s="184">
        <v>2024</v>
      </c>
      <c r="J29" s="212">
        <v>2025</v>
      </c>
      <c r="K29" s="183" t="s">
        <v>158</v>
      </c>
    </row>
    <row r="30" spans="1:11" s="171" customFormat="1" ht="12" x14ac:dyDescent="0.25">
      <c r="A30" s="201" t="s">
        <v>221</v>
      </c>
      <c r="B30" s="171">
        <v>2951.2</v>
      </c>
      <c r="C30" s="171">
        <v>3137.4</v>
      </c>
      <c r="D30" s="170">
        <v>3353</v>
      </c>
      <c r="E30" s="217"/>
      <c r="F30" s="219">
        <v>210.8</v>
      </c>
      <c r="G30" s="219">
        <v>220.7</v>
      </c>
      <c r="H30" s="218">
        <v>239.5</v>
      </c>
      <c r="I30" s="218">
        <v>252.4</v>
      </c>
      <c r="J30" s="168">
        <v>267.5</v>
      </c>
      <c r="K30" s="168"/>
    </row>
    <row r="31" spans="1:11" s="171" customFormat="1" x14ac:dyDescent="0.2">
      <c r="A31" s="171" t="s">
        <v>220</v>
      </c>
      <c r="B31" s="171">
        <v>7741.6</v>
      </c>
      <c r="C31" s="171">
        <v>8225.4</v>
      </c>
      <c r="D31" s="170">
        <v>8792.6</v>
      </c>
      <c r="E31" s="217"/>
      <c r="F31" s="219" t="s">
        <v>219</v>
      </c>
      <c r="G31" s="219" t="s">
        <v>218</v>
      </c>
      <c r="H31" s="218" t="s">
        <v>217</v>
      </c>
      <c r="I31" s="218" t="s">
        <v>266</v>
      </c>
      <c r="J31" s="168" t="s">
        <v>287</v>
      </c>
      <c r="K31" s="168"/>
    </row>
    <row r="32" spans="1:11" s="171" customFormat="1" ht="17.399999999999999" customHeight="1" x14ac:dyDescent="0.2">
      <c r="A32" s="171" t="s">
        <v>216</v>
      </c>
      <c r="B32" s="171">
        <v>10136.799999999999</v>
      </c>
      <c r="C32" s="171">
        <v>10770.06</v>
      </c>
      <c r="D32" s="170">
        <v>11511.8</v>
      </c>
      <c r="E32" s="217"/>
      <c r="F32" s="219" t="s">
        <v>215</v>
      </c>
      <c r="G32" s="219" t="s">
        <v>214</v>
      </c>
      <c r="H32" s="218" t="s">
        <v>213</v>
      </c>
      <c r="I32" s="218" t="s">
        <v>265</v>
      </c>
      <c r="J32" s="168" t="s">
        <v>286</v>
      </c>
      <c r="K32" s="191" t="s">
        <v>171</v>
      </c>
    </row>
    <row r="33" spans="1:11" s="171" customFormat="1" x14ac:dyDescent="0.2">
      <c r="A33" s="171" t="s">
        <v>212</v>
      </c>
      <c r="B33" s="171">
        <v>6608.7</v>
      </c>
      <c r="C33" s="171">
        <v>7023.1</v>
      </c>
      <c r="D33" s="170">
        <v>7506.0999999999995</v>
      </c>
      <c r="E33" s="217"/>
      <c r="F33" s="219">
        <v>472.05</v>
      </c>
      <c r="G33" s="219">
        <v>494.1</v>
      </c>
      <c r="H33" s="218">
        <v>536.15</v>
      </c>
      <c r="I33" s="218">
        <v>565</v>
      </c>
      <c r="J33" s="168">
        <v>598.75</v>
      </c>
      <c r="K33" s="168"/>
    </row>
    <row r="34" spans="1:11" s="171" customFormat="1" x14ac:dyDescent="0.2">
      <c r="A34" s="171" t="s">
        <v>211</v>
      </c>
      <c r="B34" s="171">
        <v>11399.1</v>
      </c>
      <c r="C34" s="171">
        <v>12111.1</v>
      </c>
      <c r="D34" s="170">
        <v>12945.7</v>
      </c>
      <c r="E34" s="217"/>
      <c r="F34" s="219" t="s">
        <v>210</v>
      </c>
      <c r="G34" s="219" t="s">
        <v>209</v>
      </c>
      <c r="H34" s="218" t="s">
        <v>208</v>
      </c>
      <c r="I34" s="218" t="s">
        <v>264</v>
      </c>
      <c r="J34" s="168" t="s">
        <v>291</v>
      </c>
      <c r="K34" s="168"/>
    </row>
    <row r="35" spans="1:11" s="168" customFormat="1" ht="16.95" customHeight="1" x14ac:dyDescent="0.2">
      <c r="A35" s="171" t="s">
        <v>207</v>
      </c>
      <c r="B35" s="171">
        <v>13794.3</v>
      </c>
      <c r="C35" s="171">
        <v>14655.76</v>
      </c>
      <c r="D35" s="170">
        <v>15664.899999999998</v>
      </c>
      <c r="E35" s="217"/>
      <c r="F35" s="219" t="s">
        <v>206</v>
      </c>
      <c r="G35" s="219" t="s">
        <v>205</v>
      </c>
      <c r="H35" s="218" t="s">
        <v>204</v>
      </c>
      <c r="I35" s="218" t="s">
        <v>263</v>
      </c>
      <c r="J35" s="168" t="s">
        <v>290</v>
      </c>
      <c r="K35" s="191" t="s">
        <v>171</v>
      </c>
    </row>
    <row r="36" spans="1:11" s="171" customFormat="1" ht="10.95" customHeight="1" x14ac:dyDescent="0.2">
      <c r="A36" s="171" t="s">
        <v>203</v>
      </c>
      <c r="B36" s="171">
        <v>10266.200000000001</v>
      </c>
      <c r="C36" s="171">
        <v>10908.8</v>
      </c>
      <c r="D36" s="170">
        <v>11659.199999999999</v>
      </c>
      <c r="E36" s="217"/>
      <c r="F36" s="219">
        <v>733.3</v>
      </c>
      <c r="G36" s="219">
        <v>767.5</v>
      </c>
      <c r="H36" s="218">
        <v>832.8</v>
      </c>
      <c r="I36" s="218">
        <v>877.6</v>
      </c>
      <c r="J36" s="168">
        <v>930</v>
      </c>
      <c r="K36" s="168"/>
    </row>
    <row r="37" spans="1:11" s="171" customFormat="1" x14ac:dyDescent="0.2">
      <c r="A37" s="171" t="s">
        <v>202</v>
      </c>
      <c r="B37" s="171">
        <v>15056.6</v>
      </c>
      <c r="C37" s="171">
        <v>15996.8</v>
      </c>
      <c r="D37" s="170">
        <v>17098.8</v>
      </c>
      <c r="E37" s="217"/>
      <c r="F37" s="219" t="s">
        <v>201</v>
      </c>
      <c r="G37" s="219" t="s">
        <v>200</v>
      </c>
      <c r="H37" s="218" t="s">
        <v>199</v>
      </c>
      <c r="I37" s="218" t="s">
        <v>262</v>
      </c>
      <c r="J37" s="168" t="s">
        <v>289</v>
      </c>
      <c r="K37" s="168"/>
    </row>
    <row r="38" spans="1:11" s="170" customFormat="1" x14ac:dyDescent="0.2">
      <c r="A38" s="171" t="s">
        <v>198</v>
      </c>
      <c r="B38" s="171">
        <v>17451.8</v>
      </c>
      <c r="C38" s="171">
        <v>18541.46</v>
      </c>
      <c r="D38" s="170">
        <v>19818</v>
      </c>
      <c r="E38" s="217"/>
      <c r="F38" s="219" t="s">
        <v>197</v>
      </c>
      <c r="G38" s="219" t="s">
        <v>196</v>
      </c>
      <c r="H38" s="218" t="s">
        <v>195</v>
      </c>
      <c r="I38" s="218" t="s">
        <v>261</v>
      </c>
      <c r="J38" s="168" t="s">
        <v>288</v>
      </c>
      <c r="K38" s="191" t="s">
        <v>171</v>
      </c>
    </row>
    <row r="39" spans="1:11" s="170" customFormat="1" ht="12" x14ac:dyDescent="0.25">
      <c r="A39" s="201" t="s">
        <v>194</v>
      </c>
      <c r="B39" s="171">
        <v>4790.3999999999996</v>
      </c>
      <c r="C39" s="171">
        <v>5088</v>
      </c>
      <c r="D39" s="170">
        <v>5439.6</v>
      </c>
      <c r="E39" s="217"/>
      <c r="F39" s="219">
        <v>399.2</v>
      </c>
      <c r="G39" s="219">
        <v>417.7</v>
      </c>
      <c r="H39" s="218">
        <v>453.3</v>
      </c>
      <c r="I39" s="218">
        <v>470.6</v>
      </c>
      <c r="J39" s="168">
        <v>483.8</v>
      </c>
      <c r="K39" s="168"/>
    </row>
    <row r="40" spans="1:11" s="170" customFormat="1" x14ac:dyDescent="0.2">
      <c r="A40" s="171" t="s">
        <v>193</v>
      </c>
      <c r="B40" s="171">
        <v>7185.6</v>
      </c>
      <c r="C40" s="171">
        <v>7632.66</v>
      </c>
      <c r="D40" s="170">
        <v>8158.7999999999993</v>
      </c>
      <c r="E40" s="217"/>
      <c r="F40" s="171">
        <v>598.79999999999995</v>
      </c>
      <c r="G40" s="171">
        <v>626.6</v>
      </c>
      <c r="H40" s="168">
        <v>679.9</v>
      </c>
      <c r="I40" s="168">
        <v>705.8</v>
      </c>
      <c r="J40" s="168">
        <v>725.6</v>
      </c>
      <c r="K40" s="191" t="s">
        <v>171</v>
      </c>
    </row>
    <row r="41" spans="1:11" s="170" customFormat="1" x14ac:dyDescent="0.2">
      <c r="A41" s="171" t="s">
        <v>192</v>
      </c>
      <c r="B41" s="171">
        <v>-2395.2000000000007</v>
      </c>
      <c r="C41" s="171">
        <v>-2544.66</v>
      </c>
      <c r="D41" s="170">
        <v>-2719.1999999999989</v>
      </c>
      <c r="E41" s="217"/>
      <c r="F41" s="171"/>
      <c r="G41" s="171"/>
      <c r="H41" s="168"/>
      <c r="I41" s="168"/>
      <c r="J41" s="168"/>
      <c r="K41" s="168"/>
    </row>
    <row r="42" spans="1:11" ht="12" x14ac:dyDescent="0.25">
      <c r="A42" s="197" t="s">
        <v>191</v>
      </c>
      <c r="B42" s="170"/>
      <c r="C42" s="170"/>
      <c r="D42" s="170"/>
      <c r="E42" s="213"/>
      <c r="F42" s="170">
        <v>199.59999999999997</v>
      </c>
      <c r="G42" s="170">
        <v>208.9</v>
      </c>
      <c r="H42" s="191">
        <v>226.59999999999997</v>
      </c>
      <c r="I42" s="191">
        <v>235.19999999999993</v>
      </c>
      <c r="J42" s="191">
        <v>241.8</v>
      </c>
      <c r="K42" s="191"/>
    </row>
    <row r="43" spans="1:11" ht="12" x14ac:dyDescent="0.25">
      <c r="A43" s="201" t="s">
        <v>190</v>
      </c>
      <c r="B43" s="171">
        <v>2951.2</v>
      </c>
      <c r="C43" s="171">
        <v>3137.4</v>
      </c>
      <c r="D43" s="171">
        <v>3353</v>
      </c>
      <c r="E43" s="213"/>
      <c r="F43" s="171">
        <v>210.8</v>
      </c>
      <c r="G43" s="171">
        <v>220.7</v>
      </c>
      <c r="H43" s="168">
        <v>239.5</v>
      </c>
      <c r="I43" s="168">
        <v>252.4</v>
      </c>
      <c r="J43" s="168">
        <v>267.5</v>
      </c>
      <c r="K43" s="191"/>
    </row>
    <row r="44" spans="1:11" s="172" customFormat="1" x14ac:dyDescent="0.2">
      <c r="A44" s="171" t="s">
        <v>189</v>
      </c>
      <c r="B44" s="171">
        <v>7131.6</v>
      </c>
      <c r="C44" s="171">
        <v>7576.8</v>
      </c>
      <c r="D44" s="171">
        <v>8099</v>
      </c>
      <c r="E44" s="217"/>
      <c r="F44" s="171">
        <v>509.4</v>
      </c>
      <c r="G44" s="171">
        <v>533.1</v>
      </c>
      <c r="H44" s="168">
        <v>578.5</v>
      </c>
      <c r="I44" s="168">
        <v>609.6</v>
      </c>
      <c r="J44" s="168">
        <v>646</v>
      </c>
      <c r="K44" s="191"/>
    </row>
    <row r="45" spans="1:11" s="171" customFormat="1" x14ac:dyDescent="0.2">
      <c r="A45" s="171" t="s">
        <v>188</v>
      </c>
      <c r="B45" s="171">
        <v>6721.4</v>
      </c>
      <c r="C45" s="171">
        <v>7140</v>
      </c>
      <c r="D45" s="171">
        <v>7632.8000000000011</v>
      </c>
      <c r="E45" s="213"/>
      <c r="F45" s="171">
        <v>480.1</v>
      </c>
      <c r="G45" s="171">
        <v>502.4</v>
      </c>
      <c r="H45" s="168">
        <v>545.20000000000005</v>
      </c>
      <c r="I45" s="168">
        <v>574.5</v>
      </c>
      <c r="J45" s="168">
        <v>608.80000000000007</v>
      </c>
      <c r="K45" s="191"/>
    </row>
    <row r="46" spans="1:11" s="171" customFormat="1" x14ac:dyDescent="0.2">
      <c r="A46" s="166" t="s">
        <v>187</v>
      </c>
      <c r="E46" s="217"/>
      <c r="F46" s="168"/>
      <c r="G46" s="168"/>
      <c r="H46" s="168"/>
      <c r="I46" s="168"/>
      <c r="J46" s="168"/>
      <c r="K46" s="167"/>
    </row>
    <row r="47" spans="1:11" s="171" customFormat="1" x14ac:dyDescent="0.2">
      <c r="A47" s="166"/>
      <c r="B47" s="166"/>
      <c r="C47" s="166"/>
      <c r="D47" s="166"/>
      <c r="E47" s="169"/>
      <c r="F47" s="168"/>
      <c r="G47" s="168"/>
      <c r="H47" s="168"/>
      <c r="I47" s="168"/>
      <c r="J47" s="168"/>
      <c r="K47" s="167"/>
    </row>
    <row r="48" spans="1:11" s="171" customFormat="1" x14ac:dyDescent="0.2">
      <c r="A48" s="200" t="s">
        <v>186</v>
      </c>
      <c r="B48" s="187">
        <v>2021</v>
      </c>
      <c r="C48" s="189">
        <v>2022</v>
      </c>
      <c r="D48" s="185">
        <v>2023</v>
      </c>
      <c r="E48" s="188"/>
      <c r="F48" s="187">
        <v>2021</v>
      </c>
      <c r="G48" s="186">
        <v>2022</v>
      </c>
      <c r="H48" s="185">
        <v>2023</v>
      </c>
      <c r="I48" s="184">
        <v>2024</v>
      </c>
      <c r="J48" s="212">
        <v>2025</v>
      </c>
      <c r="K48" s="183" t="s">
        <v>158</v>
      </c>
    </row>
    <row r="49" spans="1:11" s="171" customFormat="1" x14ac:dyDescent="0.2">
      <c r="A49" s="199" t="s">
        <v>185</v>
      </c>
      <c r="B49" s="195">
        <v>8458.7999999999993</v>
      </c>
      <c r="C49" s="195">
        <v>9645.43</v>
      </c>
      <c r="D49" s="195">
        <v>10176.879999999999</v>
      </c>
      <c r="E49" s="214"/>
      <c r="F49" s="171">
        <v>604.19999999999993</v>
      </c>
      <c r="G49" s="216" t="s">
        <v>184</v>
      </c>
      <c r="H49" s="168">
        <v>726.92</v>
      </c>
      <c r="I49" s="168">
        <v>776.85</v>
      </c>
      <c r="J49" s="168">
        <v>847.05</v>
      </c>
      <c r="K49" s="191" t="s">
        <v>171</v>
      </c>
    </row>
    <row r="50" spans="1:11" s="171" customFormat="1" x14ac:dyDescent="0.2">
      <c r="A50" s="198" t="s">
        <v>183</v>
      </c>
      <c r="B50" s="195">
        <f>+F50*14</f>
        <v>5639.2</v>
      </c>
      <c r="C50" s="195">
        <v>6430.27</v>
      </c>
      <c r="D50" s="195">
        <v>6784.5399999999991</v>
      </c>
      <c r="E50" s="214"/>
      <c r="F50" s="171">
        <v>402.8</v>
      </c>
      <c r="G50" s="216" t="s">
        <v>182</v>
      </c>
      <c r="H50" s="168">
        <v>484.61</v>
      </c>
      <c r="I50" s="168">
        <v>517.9</v>
      </c>
      <c r="J50" s="168">
        <v>564.70000000000005</v>
      </c>
      <c r="K50" s="168"/>
    </row>
    <row r="51" spans="1:11" s="171" customFormat="1" x14ac:dyDescent="0.2">
      <c r="A51" s="199" t="s">
        <v>181</v>
      </c>
      <c r="B51" s="195">
        <v>7612.92</v>
      </c>
      <c r="C51" s="195">
        <v>8680.8100000000031</v>
      </c>
      <c r="D51" s="195">
        <v>9159.0800000000017</v>
      </c>
      <c r="E51" s="214"/>
      <c r="F51" s="171">
        <v>543.78</v>
      </c>
      <c r="G51" s="216" t="s">
        <v>180</v>
      </c>
      <c r="H51" s="168">
        <v>654.22</v>
      </c>
      <c r="I51" s="168">
        <v>699.17</v>
      </c>
      <c r="J51" s="168">
        <v>762.35</v>
      </c>
      <c r="K51" s="191" t="s">
        <v>171</v>
      </c>
    </row>
    <row r="52" spans="1:11" s="171" customFormat="1" x14ac:dyDescent="0.2">
      <c r="A52" s="198" t="s">
        <v>179</v>
      </c>
      <c r="B52" s="195">
        <v>4793.32</v>
      </c>
      <c r="C52" s="195">
        <v>5465.7199999999984</v>
      </c>
      <c r="D52" s="195">
        <v>5766.88</v>
      </c>
      <c r="E52" s="214"/>
      <c r="F52" s="171">
        <v>342.38</v>
      </c>
      <c r="G52" s="216" t="s">
        <v>178</v>
      </c>
      <c r="H52" s="168">
        <v>411.92</v>
      </c>
      <c r="I52" s="168">
        <v>440.22</v>
      </c>
      <c r="J52" s="168">
        <v>480</v>
      </c>
      <c r="K52" s="168"/>
    </row>
    <row r="53" spans="1:11" s="171" customFormat="1" x14ac:dyDescent="0.2">
      <c r="A53" s="199" t="s">
        <v>177</v>
      </c>
      <c r="B53" s="195">
        <v>7330.96</v>
      </c>
      <c r="C53" s="195">
        <v>8359.2999999999993</v>
      </c>
      <c r="D53" s="195">
        <v>8819.8599999999988</v>
      </c>
      <c r="E53" s="214"/>
      <c r="F53" s="171">
        <v>523.64</v>
      </c>
      <c r="G53" s="216" t="s">
        <v>176</v>
      </c>
      <c r="H53" s="168">
        <v>629.99</v>
      </c>
      <c r="I53" s="168">
        <v>673.27</v>
      </c>
      <c r="J53" s="168">
        <v>734.11</v>
      </c>
      <c r="K53" s="191" t="s">
        <v>171</v>
      </c>
    </row>
    <row r="54" spans="1:11" s="170" customFormat="1" x14ac:dyDescent="0.2">
      <c r="A54" s="198" t="s">
        <v>175</v>
      </c>
      <c r="B54" s="195">
        <v>4511.3599999999997</v>
      </c>
      <c r="C54" s="195">
        <v>5144.2099999999991</v>
      </c>
      <c r="D54" s="195">
        <v>5427.6599999999989</v>
      </c>
      <c r="E54" s="214"/>
      <c r="F54" s="171">
        <v>322.24</v>
      </c>
      <c r="G54" s="216" t="s">
        <v>174</v>
      </c>
      <c r="H54" s="168">
        <v>387.69</v>
      </c>
      <c r="I54" s="168">
        <v>414.32</v>
      </c>
      <c r="J54" s="168">
        <v>451.76</v>
      </c>
      <c r="K54" s="168"/>
    </row>
    <row r="55" spans="1:11" ht="17.399999999999999" customHeight="1" x14ac:dyDescent="0.2">
      <c r="A55" s="199" t="s">
        <v>173</v>
      </c>
      <c r="B55" s="195">
        <v>4295.62</v>
      </c>
      <c r="C55" s="195">
        <v>4898.1899999999996</v>
      </c>
      <c r="D55" s="195">
        <v>5088.4399999999996</v>
      </c>
      <c r="E55" s="214"/>
      <c r="F55" s="171">
        <v>302.17</v>
      </c>
      <c r="G55" s="216" t="s">
        <v>172</v>
      </c>
      <c r="H55" s="168">
        <v>363.46</v>
      </c>
      <c r="I55" s="168">
        <v>388.43</v>
      </c>
      <c r="J55" s="168">
        <v>423.53000000000003</v>
      </c>
      <c r="K55" s="191" t="s">
        <v>171</v>
      </c>
    </row>
    <row r="56" spans="1:11" x14ac:dyDescent="0.2">
      <c r="A56" s="198" t="s">
        <v>170</v>
      </c>
      <c r="B56" s="195">
        <v>1409.8</v>
      </c>
      <c r="C56" s="195">
        <v>1607.5599999999995</v>
      </c>
      <c r="D56" s="195">
        <v>1696.1000000000004</v>
      </c>
      <c r="E56" s="214"/>
      <c r="F56" s="171">
        <v>100.7</v>
      </c>
      <c r="G56" s="216" t="s">
        <v>169</v>
      </c>
      <c r="H56" s="168">
        <v>121.15</v>
      </c>
      <c r="I56" s="168">
        <v>129.47999999999999</v>
      </c>
      <c r="J56" s="168">
        <v>141.18</v>
      </c>
      <c r="K56" s="168"/>
    </row>
    <row r="57" spans="1:11" s="171" customFormat="1" x14ac:dyDescent="0.2">
      <c r="A57" s="168" t="s">
        <v>168</v>
      </c>
      <c r="B57" s="171">
        <v>-2819.5999999999995</v>
      </c>
      <c r="C57" s="171">
        <v>-3215.1600000000017</v>
      </c>
      <c r="D57" s="171">
        <v>-3392.34</v>
      </c>
      <c r="E57" s="217"/>
      <c r="F57" s="171">
        <v>201.39999999999992</v>
      </c>
      <c r="G57" s="216" t="s">
        <v>166</v>
      </c>
      <c r="H57" s="168">
        <v>242.31</v>
      </c>
      <c r="I57" s="168">
        <v>258.95</v>
      </c>
      <c r="J57" s="168">
        <v>282.35000000000002</v>
      </c>
      <c r="K57" s="168"/>
    </row>
    <row r="58" spans="1:11" s="171" customFormat="1" ht="12" x14ac:dyDescent="0.25">
      <c r="A58" s="197" t="s">
        <v>167</v>
      </c>
      <c r="B58" s="170"/>
      <c r="C58" s="170"/>
      <c r="D58" s="170"/>
      <c r="E58" s="213"/>
      <c r="F58" s="170">
        <v>201.39999999999992</v>
      </c>
      <c r="G58" s="215" t="s">
        <v>166</v>
      </c>
      <c r="H58" s="191">
        <v>242.31</v>
      </c>
      <c r="I58" s="191">
        <v>258.95</v>
      </c>
      <c r="J58" s="168">
        <v>282.35000000000002</v>
      </c>
      <c r="K58" s="191" t="s">
        <v>160</v>
      </c>
    </row>
    <row r="59" spans="1:11" s="170" customFormat="1" x14ac:dyDescent="0.2">
      <c r="A59" s="166"/>
      <c r="B59" s="166"/>
      <c r="C59" s="166"/>
      <c r="D59" s="166"/>
      <c r="E59" s="169"/>
      <c r="F59" s="168"/>
      <c r="G59" s="168"/>
      <c r="H59" s="168"/>
      <c r="I59" s="168"/>
      <c r="J59" s="168"/>
      <c r="K59" s="167"/>
    </row>
    <row r="60" spans="1:11" x14ac:dyDescent="0.2">
      <c r="A60" s="190" t="s">
        <v>165</v>
      </c>
      <c r="B60" s="187">
        <v>2021</v>
      </c>
      <c r="C60" s="189">
        <v>2022</v>
      </c>
      <c r="D60" s="185">
        <v>2023</v>
      </c>
      <c r="E60" s="188"/>
      <c r="F60" s="187">
        <v>2021</v>
      </c>
      <c r="G60" s="186">
        <v>2022</v>
      </c>
      <c r="H60" s="185">
        <v>2023</v>
      </c>
      <c r="I60" s="184">
        <v>2024</v>
      </c>
      <c r="J60" s="212">
        <v>2025</v>
      </c>
      <c r="K60" s="183" t="s">
        <v>158</v>
      </c>
    </row>
    <row r="61" spans="1:11" x14ac:dyDescent="0.2">
      <c r="A61" s="195" t="s">
        <v>164</v>
      </c>
      <c r="B61" s="195">
        <v>2098.04</v>
      </c>
      <c r="C61" s="195">
        <v>2098.04</v>
      </c>
      <c r="D61" s="195">
        <v>2098.04</v>
      </c>
      <c r="E61" s="214"/>
      <c r="F61" s="171">
        <v>149.86000000000001</v>
      </c>
      <c r="G61" s="168">
        <v>149.86000000000001</v>
      </c>
      <c r="H61" s="168">
        <v>149.86000000000001</v>
      </c>
      <c r="I61" s="168">
        <v>149.86000000000001</v>
      </c>
      <c r="J61" s="168">
        <v>149.86000000000001</v>
      </c>
      <c r="K61" s="168" t="s">
        <v>163</v>
      </c>
    </row>
    <row r="62" spans="1:11" x14ac:dyDescent="0.2">
      <c r="A62" s="196" t="s">
        <v>162</v>
      </c>
      <c r="B62" s="195">
        <v>817.19999999999993</v>
      </c>
      <c r="C62" s="195">
        <v>817.19999999999993</v>
      </c>
      <c r="D62" s="195">
        <v>817.19999999999993</v>
      </c>
      <c r="E62" s="214"/>
      <c r="F62" s="171">
        <v>68.099999999999994</v>
      </c>
      <c r="G62" s="168">
        <v>68.099999999999994</v>
      </c>
      <c r="H62" s="168">
        <v>68.099999999999994</v>
      </c>
      <c r="I62" s="168">
        <v>68.099999999999994</v>
      </c>
      <c r="J62" s="168">
        <v>83.5</v>
      </c>
      <c r="K62" s="168"/>
    </row>
    <row r="63" spans="1:11" x14ac:dyDescent="0.2">
      <c r="A63" s="192" t="s">
        <v>161</v>
      </c>
      <c r="B63" s="170">
        <v>818.30000000000007</v>
      </c>
      <c r="C63" s="170">
        <v>818.30000000000007</v>
      </c>
      <c r="D63" s="170">
        <v>818.30000000000007</v>
      </c>
      <c r="E63" s="213"/>
      <c r="F63" s="170">
        <v>58.45</v>
      </c>
      <c r="G63" s="191">
        <v>58.45</v>
      </c>
      <c r="H63" s="191">
        <v>58.45</v>
      </c>
      <c r="I63" s="191">
        <v>58.45</v>
      </c>
      <c r="J63" s="168">
        <v>58.45</v>
      </c>
      <c r="K63" s="191" t="s">
        <v>160</v>
      </c>
    </row>
    <row r="64" spans="1:11" x14ac:dyDescent="0.2">
      <c r="E64" s="169"/>
    </row>
    <row r="65" spans="1:11" x14ac:dyDescent="0.2">
      <c r="E65" s="169"/>
    </row>
    <row r="66" spans="1:11" x14ac:dyDescent="0.2">
      <c r="A66" s="190" t="s">
        <v>159</v>
      </c>
      <c r="B66" s="187">
        <v>2021</v>
      </c>
      <c r="C66" s="189">
        <v>2022</v>
      </c>
      <c r="D66" s="185">
        <v>2023</v>
      </c>
      <c r="E66" s="188"/>
      <c r="F66" s="187">
        <v>2021</v>
      </c>
      <c r="G66" s="186">
        <v>2022</v>
      </c>
      <c r="H66" s="185">
        <v>2023</v>
      </c>
      <c r="I66" s="184">
        <v>2024</v>
      </c>
      <c r="J66" s="212">
        <v>2025</v>
      </c>
      <c r="K66" s="183" t="s">
        <v>158</v>
      </c>
    </row>
    <row r="67" spans="1:11" x14ac:dyDescent="0.2">
      <c r="E67" s="169"/>
      <c r="F67" s="171">
        <v>451.92</v>
      </c>
      <c r="G67" s="171">
        <v>463.21</v>
      </c>
      <c r="H67" s="171">
        <v>480</v>
      </c>
      <c r="I67" s="171">
        <v>480</v>
      </c>
      <c r="K67" s="168"/>
    </row>
  </sheetData>
  <mergeCells count="2">
    <mergeCell ref="B1:D1"/>
    <mergeCell ref="F1:J1"/>
  </mergeCells>
  <printOptions horizontalCentered="1"/>
  <pageMargins left="0" right="0" top="0.39370078740157483" bottom="0.39370078740157483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2406D-03E6-4602-B62A-93C94940DCC0}">
  <sheetPr>
    <pageSetUpPr fitToPage="1"/>
  </sheetPr>
  <dimension ref="A1:E70"/>
  <sheetViews>
    <sheetView workbookViewId="0">
      <selection activeCell="A6" sqref="A6"/>
    </sheetView>
  </sheetViews>
  <sheetFormatPr baseColWidth="10" defaultRowHeight="13.2" x14ac:dyDescent="0.25"/>
  <cols>
    <col min="1" max="1" width="39.109375" style="109" customWidth="1"/>
    <col min="2" max="2" width="121.5546875" style="109" bestFit="1" customWidth="1"/>
    <col min="3" max="4" width="14" style="109" customWidth="1"/>
    <col min="5" max="5" width="12.33203125" style="109" bestFit="1" customWidth="1"/>
    <col min="6" max="240" width="11.5546875" style="109"/>
    <col min="241" max="241" width="8.33203125" style="109" customWidth="1"/>
    <col min="242" max="242" width="72.5546875" style="109" customWidth="1"/>
    <col min="243" max="244" width="14" style="109" customWidth="1"/>
    <col min="245" max="496" width="11.5546875" style="109"/>
    <col min="497" max="497" width="8.33203125" style="109" customWidth="1"/>
    <col min="498" max="498" width="72.5546875" style="109" customWidth="1"/>
    <col min="499" max="500" width="14" style="109" customWidth="1"/>
    <col min="501" max="752" width="11.5546875" style="109"/>
    <col min="753" max="753" width="8.33203125" style="109" customWidth="1"/>
    <col min="754" max="754" width="72.5546875" style="109" customWidth="1"/>
    <col min="755" max="756" width="14" style="109" customWidth="1"/>
    <col min="757" max="1008" width="11.5546875" style="109"/>
    <col min="1009" max="1009" width="8.33203125" style="109" customWidth="1"/>
    <col min="1010" max="1010" width="72.5546875" style="109" customWidth="1"/>
    <col min="1011" max="1012" width="14" style="109" customWidth="1"/>
    <col min="1013" max="1264" width="11.5546875" style="109"/>
    <col min="1265" max="1265" width="8.33203125" style="109" customWidth="1"/>
    <col min="1266" max="1266" width="72.5546875" style="109" customWidth="1"/>
    <col min="1267" max="1268" width="14" style="109" customWidth="1"/>
    <col min="1269" max="1520" width="11.5546875" style="109"/>
    <col min="1521" max="1521" width="8.33203125" style="109" customWidth="1"/>
    <col min="1522" max="1522" width="72.5546875" style="109" customWidth="1"/>
    <col min="1523" max="1524" width="14" style="109" customWidth="1"/>
    <col min="1525" max="1776" width="11.5546875" style="109"/>
    <col min="1777" max="1777" width="8.33203125" style="109" customWidth="1"/>
    <col min="1778" max="1778" width="72.5546875" style="109" customWidth="1"/>
    <col min="1779" max="1780" width="14" style="109" customWidth="1"/>
    <col min="1781" max="2032" width="11.5546875" style="109"/>
    <col min="2033" max="2033" width="8.33203125" style="109" customWidth="1"/>
    <col min="2034" max="2034" width="72.5546875" style="109" customWidth="1"/>
    <col min="2035" max="2036" width="14" style="109" customWidth="1"/>
    <col min="2037" max="2288" width="11.5546875" style="109"/>
    <col min="2289" max="2289" width="8.33203125" style="109" customWidth="1"/>
    <col min="2290" max="2290" width="72.5546875" style="109" customWidth="1"/>
    <col min="2291" max="2292" width="14" style="109" customWidth="1"/>
    <col min="2293" max="2544" width="11.5546875" style="109"/>
    <col min="2545" max="2545" width="8.33203125" style="109" customWidth="1"/>
    <col min="2546" max="2546" width="72.5546875" style="109" customWidth="1"/>
    <col min="2547" max="2548" width="14" style="109" customWidth="1"/>
    <col min="2549" max="2800" width="11.5546875" style="109"/>
    <col min="2801" max="2801" width="8.33203125" style="109" customWidth="1"/>
    <col min="2802" max="2802" width="72.5546875" style="109" customWidth="1"/>
    <col min="2803" max="2804" width="14" style="109" customWidth="1"/>
    <col min="2805" max="3056" width="11.5546875" style="109"/>
    <col min="3057" max="3057" width="8.33203125" style="109" customWidth="1"/>
    <col min="3058" max="3058" width="72.5546875" style="109" customWidth="1"/>
    <col min="3059" max="3060" width="14" style="109" customWidth="1"/>
    <col min="3061" max="3312" width="11.5546875" style="109"/>
    <col min="3313" max="3313" width="8.33203125" style="109" customWidth="1"/>
    <col min="3314" max="3314" width="72.5546875" style="109" customWidth="1"/>
    <col min="3315" max="3316" width="14" style="109" customWidth="1"/>
    <col min="3317" max="3568" width="11.5546875" style="109"/>
    <col min="3569" max="3569" width="8.33203125" style="109" customWidth="1"/>
    <col min="3570" max="3570" width="72.5546875" style="109" customWidth="1"/>
    <col min="3571" max="3572" width="14" style="109" customWidth="1"/>
    <col min="3573" max="3824" width="11.5546875" style="109"/>
    <col min="3825" max="3825" width="8.33203125" style="109" customWidth="1"/>
    <col min="3826" max="3826" width="72.5546875" style="109" customWidth="1"/>
    <col min="3827" max="3828" width="14" style="109" customWidth="1"/>
    <col min="3829" max="4080" width="11.5546875" style="109"/>
    <col min="4081" max="4081" width="8.33203125" style="109" customWidth="1"/>
    <col min="4082" max="4082" width="72.5546875" style="109" customWidth="1"/>
    <col min="4083" max="4084" width="14" style="109" customWidth="1"/>
    <col min="4085" max="4336" width="11.5546875" style="109"/>
    <col min="4337" max="4337" width="8.33203125" style="109" customWidth="1"/>
    <col min="4338" max="4338" width="72.5546875" style="109" customWidth="1"/>
    <col min="4339" max="4340" width="14" style="109" customWidth="1"/>
    <col min="4341" max="4592" width="11.5546875" style="109"/>
    <col min="4593" max="4593" width="8.33203125" style="109" customWidth="1"/>
    <col min="4594" max="4594" width="72.5546875" style="109" customWidth="1"/>
    <col min="4595" max="4596" width="14" style="109" customWidth="1"/>
    <col min="4597" max="4848" width="11.5546875" style="109"/>
    <col min="4849" max="4849" width="8.33203125" style="109" customWidth="1"/>
    <col min="4850" max="4850" width="72.5546875" style="109" customWidth="1"/>
    <col min="4851" max="4852" width="14" style="109" customWidth="1"/>
    <col min="4853" max="5104" width="11.5546875" style="109"/>
    <col min="5105" max="5105" width="8.33203125" style="109" customWidth="1"/>
    <col min="5106" max="5106" width="72.5546875" style="109" customWidth="1"/>
    <col min="5107" max="5108" width="14" style="109" customWidth="1"/>
    <col min="5109" max="5360" width="11.5546875" style="109"/>
    <col min="5361" max="5361" width="8.33203125" style="109" customWidth="1"/>
    <col min="5362" max="5362" width="72.5546875" style="109" customWidth="1"/>
    <col min="5363" max="5364" width="14" style="109" customWidth="1"/>
    <col min="5365" max="5616" width="11.5546875" style="109"/>
    <col min="5617" max="5617" width="8.33203125" style="109" customWidth="1"/>
    <col min="5618" max="5618" width="72.5546875" style="109" customWidth="1"/>
    <col min="5619" max="5620" width="14" style="109" customWidth="1"/>
    <col min="5621" max="5872" width="11.5546875" style="109"/>
    <col min="5873" max="5873" width="8.33203125" style="109" customWidth="1"/>
    <col min="5874" max="5874" width="72.5546875" style="109" customWidth="1"/>
    <col min="5875" max="5876" width="14" style="109" customWidth="1"/>
    <col min="5877" max="6128" width="11.5546875" style="109"/>
    <col min="6129" max="6129" width="8.33203125" style="109" customWidth="1"/>
    <col min="6130" max="6130" width="72.5546875" style="109" customWidth="1"/>
    <col min="6131" max="6132" width="14" style="109" customWidth="1"/>
    <col min="6133" max="6384" width="11.5546875" style="109"/>
    <col min="6385" max="6385" width="8.33203125" style="109" customWidth="1"/>
    <col min="6386" max="6386" width="72.5546875" style="109" customWidth="1"/>
    <col min="6387" max="6388" width="14" style="109" customWidth="1"/>
    <col min="6389" max="6640" width="11.5546875" style="109"/>
    <col min="6641" max="6641" width="8.33203125" style="109" customWidth="1"/>
    <col min="6642" max="6642" width="72.5546875" style="109" customWidth="1"/>
    <col min="6643" max="6644" width="14" style="109" customWidth="1"/>
    <col min="6645" max="6896" width="11.5546875" style="109"/>
    <col min="6897" max="6897" width="8.33203125" style="109" customWidth="1"/>
    <col min="6898" max="6898" width="72.5546875" style="109" customWidth="1"/>
    <col min="6899" max="6900" width="14" style="109" customWidth="1"/>
    <col min="6901" max="7152" width="11.5546875" style="109"/>
    <col min="7153" max="7153" width="8.33203125" style="109" customWidth="1"/>
    <col min="7154" max="7154" width="72.5546875" style="109" customWidth="1"/>
    <col min="7155" max="7156" width="14" style="109" customWidth="1"/>
    <col min="7157" max="7408" width="11.5546875" style="109"/>
    <col min="7409" max="7409" width="8.33203125" style="109" customWidth="1"/>
    <col min="7410" max="7410" width="72.5546875" style="109" customWidth="1"/>
    <col min="7411" max="7412" width="14" style="109" customWidth="1"/>
    <col min="7413" max="7664" width="11.5546875" style="109"/>
    <col min="7665" max="7665" width="8.33203125" style="109" customWidth="1"/>
    <col min="7666" max="7666" width="72.5546875" style="109" customWidth="1"/>
    <col min="7667" max="7668" width="14" style="109" customWidth="1"/>
    <col min="7669" max="7920" width="11.5546875" style="109"/>
    <col min="7921" max="7921" width="8.33203125" style="109" customWidth="1"/>
    <col min="7922" max="7922" width="72.5546875" style="109" customWidth="1"/>
    <col min="7923" max="7924" width="14" style="109" customWidth="1"/>
    <col min="7925" max="8176" width="11.5546875" style="109"/>
    <col min="8177" max="8177" width="8.33203125" style="109" customWidth="1"/>
    <col min="8178" max="8178" width="72.5546875" style="109" customWidth="1"/>
    <col min="8179" max="8180" width="14" style="109" customWidth="1"/>
    <col min="8181" max="8432" width="11.5546875" style="109"/>
    <col min="8433" max="8433" width="8.33203125" style="109" customWidth="1"/>
    <col min="8434" max="8434" width="72.5546875" style="109" customWidth="1"/>
    <col min="8435" max="8436" width="14" style="109" customWidth="1"/>
    <col min="8437" max="8688" width="11.5546875" style="109"/>
    <col min="8689" max="8689" width="8.33203125" style="109" customWidth="1"/>
    <col min="8690" max="8690" width="72.5546875" style="109" customWidth="1"/>
    <col min="8691" max="8692" width="14" style="109" customWidth="1"/>
    <col min="8693" max="8944" width="11.5546875" style="109"/>
    <col min="8945" max="8945" width="8.33203125" style="109" customWidth="1"/>
    <col min="8946" max="8946" width="72.5546875" style="109" customWidth="1"/>
    <col min="8947" max="8948" width="14" style="109" customWidth="1"/>
    <col min="8949" max="9200" width="11.5546875" style="109"/>
    <col min="9201" max="9201" width="8.33203125" style="109" customWidth="1"/>
    <col min="9202" max="9202" width="72.5546875" style="109" customWidth="1"/>
    <col min="9203" max="9204" width="14" style="109" customWidth="1"/>
    <col min="9205" max="9456" width="11.5546875" style="109"/>
    <col min="9457" max="9457" width="8.33203125" style="109" customWidth="1"/>
    <col min="9458" max="9458" width="72.5546875" style="109" customWidth="1"/>
    <col min="9459" max="9460" width="14" style="109" customWidth="1"/>
    <col min="9461" max="9712" width="11.5546875" style="109"/>
    <col min="9713" max="9713" width="8.33203125" style="109" customWidth="1"/>
    <col min="9714" max="9714" width="72.5546875" style="109" customWidth="1"/>
    <col min="9715" max="9716" width="14" style="109" customWidth="1"/>
    <col min="9717" max="9968" width="11.5546875" style="109"/>
    <col min="9969" max="9969" width="8.33203125" style="109" customWidth="1"/>
    <col min="9970" max="9970" width="72.5546875" style="109" customWidth="1"/>
    <col min="9971" max="9972" width="14" style="109" customWidth="1"/>
    <col min="9973" max="10224" width="11.5546875" style="109"/>
    <col min="10225" max="10225" width="8.33203125" style="109" customWidth="1"/>
    <col min="10226" max="10226" width="72.5546875" style="109" customWidth="1"/>
    <col min="10227" max="10228" width="14" style="109" customWidth="1"/>
    <col min="10229" max="10480" width="11.5546875" style="109"/>
    <col min="10481" max="10481" width="8.33203125" style="109" customWidth="1"/>
    <col min="10482" max="10482" width="72.5546875" style="109" customWidth="1"/>
    <col min="10483" max="10484" width="14" style="109" customWidth="1"/>
    <col min="10485" max="10736" width="11.5546875" style="109"/>
    <col min="10737" max="10737" width="8.33203125" style="109" customWidth="1"/>
    <col min="10738" max="10738" width="72.5546875" style="109" customWidth="1"/>
    <col min="10739" max="10740" width="14" style="109" customWidth="1"/>
    <col min="10741" max="10992" width="11.5546875" style="109"/>
    <col min="10993" max="10993" width="8.33203125" style="109" customWidth="1"/>
    <col min="10994" max="10994" width="72.5546875" style="109" customWidth="1"/>
    <col min="10995" max="10996" width="14" style="109" customWidth="1"/>
    <col min="10997" max="11248" width="11.5546875" style="109"/>
    <col min="11249" max="11249" width="8.33203125" style="109" customWidth="1"/>
    <col min="11250" max="11250" width="72.5546875" style="109" customWidth="1"/>
    <col min="11251" max="11252" width="14" style="109" customWidth="1"/>
    <col min="11253" max="11504" width="11.5546875" style="109"/>
    <col min="11505" max="11505" width="8.33203125" style="109" customWidth="1"/>
    <col min="11506" max="11506" width="72.5546875" style="109" customWidth="1"/>
    <col min="11507" max="11508" width="14" style="109" customWidth="1"/>
    <col min="11509" max="11760" width="11.5546875" style="109"/>
    <col min="11761" max="11761" width="8.33203125" style="109" customWidth="1"/>
    <col min="11762" max="11762" width="72.5546875" style="109" customWidth="1"/>
    <col min="11763" max="11764" width="14" style="109" customWidth="1"/>
    <col min="11765" max="12016" width="11.5546875" style="109"/>
    <col min="12017" max="12017" width="8.33203125" style="109" customWidth="1"/>
    <col min="12018" max="12018" width="72.5546875" style="109" customWidth="1"/>
    <col min="12019" max="12020" width="14" style="109" customWidth="1"/>
    <col min="12021" max="12272" width="11.5546875" style="109"/>
    <col min="12273" max="12273" width="8.33203125" style="109" customWidth="1"/>
    <col min="12274" max="12274" width="72.5546875" style="109" customWidth="1"/>
    <col min="12275" max="12276" width="14" style="109" customWidth="1"/>
    <col min="12277" max="12528" width="11.5546875" style="109"/>
    <col min="12529" max="12529" width="8.33203125" style="109" customWidth="1"/>
    <col min="12530" max="12530" width="72.5546875" style="109" customWidth="1"/>
    <col min="12531" max="12532" width="14" style="109" customWidth="1"/>
    <col min="12533" max="12784" width="11.5546875" style="109"/>
    <col min="12785" max="12785" width="8.33203125" style="109" customWidth="1"/>
    <col min="12786" max="12786" width="72.5546875" style="109" customWidth="1"/>
    <col min="12787" max="12788" width="14" style="109" customWidth="1"/>
    <col min="12789" max="13040" width="11.5546875" style="109"/>
    <col min="13041" max="13041" width="8.33203125" style="109" customWidth="1"/>
    <col min="13042" max="13042" width="72.5546875" style="109" customWidth="1"/>
    <col min="13043" max="13044" width="14" style="109" customWidth="1"/>
    <col min="13045" max="13296" width="11.5546875" style="109"/>
    <col min="13297" max="13297" width="8.33203125" style="109" customWidth="1"/>
    <col min="13298" max="13298" width="72.5546875" style="109" customWidth="1"/>
    <col min="13299" max="13300" width="14" style="109" customWidth="1"/>
    <col min="13301" max="13552" width="11.5546875" style="109"/>
    <col min="13553" max="13553" width="8.33203125" style="109" customWidth="1"/>
    <col min="13554" max="13554" width="72.5546875" style="109" customWidth="1"/>
    <col min="13555" max="13556" width="14" style="109" customWidth="1"/>
    <col min="13557" max="13808" width="11.5546875" style="109"/>
    <col min="13809" max="13809" width="8.33203125" style="109" customWidth="1"/>
    <col min="13810" max="13810" width="72.5546875" style="109" customWidth="1"/>
    <col min="13811" max="13812" width="14" style="109" customWidth="1"/>
    <col min="13813" max="14064" width="11.5546875" style="109"/>
    <col min="14065" max="14065" width="8.33203125" style="109" customWidth="1"/>
    <col min="14066" max="14066" width="72.5546875" style="109" customWidth="1"/>
    <col min="14067" max="14068" width="14" style="109" customWidth="1"/>
    <col min="14069" max="14320" width="11.5546875" style="109"/>
    <col min="14321" max="14321" width="8.33203125" style="109" customWidth="1"/>
    <col min="14322" max="14322" width="72.5546875" style="109" customWidth="1"/>
    <col min="14323" max="14324" width="14" style="109" customWidth="1"/>
    <col min="14325" max="14576" width="11.5546875" style="109"/>
    <col min="14577" max="14577" width="8.33203125" style="109" customWidth="1"/>
    <col min="14578" max="14578" width="72.5546875" style="109" customWidth="1"/>
    <col min="14579" max="14580" width="14" style="109" customWidth="1"/>
    <col min="14581" max="14832" width="11.5546875" style="109"/>
    <col min="14833" max="14833" width="8.33203125" style="109" customWidth="1"/>
    <col min="14834" max="14834" width="72.5546875" style="109" customWidth="1"/>
    <col min="14835" max="14836" width="14" style="109" customWidth="1"/>
    <col min="14837" max="15088" width="11.5546875" style="109"/>
    <col min="15089" max="15089" width="8.33203125" style="109" customWidth="1"/>
    <col min="15090" max="15090" width="72.5546875" style="109" customWidth="1"/>
    <col min="15091" max="15092" width="14" style="109" customWidth="1"/>
    <col min="15093" max="15344" width="11.5546875" style="109"/>
    <col min="15345" max="15345" width="8.33203125" style="109" customWidth="1"/>
    <col min="15346" max="15346" width="72.5546875" style="109" customWidth="1"/>
    <col min="15347" max="15348" width="14" style="109" customWidth="1"/>
    <col min="15349" max="15600" width="11.5546875" style="109"/>
    <col min="15601" max="15601" width="8.33203125" style="109" customWidth="1"/>
    <col min="15602" max="15602" width="72.5546875" style="109" customWidth="1"/>
    <col min="15603" max="15604" width="14" style="109" customWidth="1"/>
    <col min="15605" max="15856" width="11.5546875" style="109"/>
    <col min="15857" max="15857" width="8.33203125" style="109" customWidth="1"/>
    <col min="15858" max="15858" width="72.5546875" style="109" customWidth="1"/>
    <col min="15859" max="15860" width="14" style="109" customWidth="1"/>
    <col min="15861" max="16112" width="11.5546875" style="109"/>
    <col min="16113" max="16113" width="8.33203125" style="109" customWidth="1"/>
    <col min="16114" max="16114" width="72.5546875" style="109" customWidth="1"/>
    <col min="16115" max="16116" width="14" style="109" customWidth="1"/>
    <col min="16117" max="16384" width="11.5546875" style="109"/>
  </cols>
  <sheetData>
    <row r="1" spans="1:4" ht="17.399999999999999" x14ac:dyDescent="0.3">
      <c r="A1" s="165" t="s">
        <v>282</v>
      </c>
    </row>
    <row r="3" spans="1:4" s="110" customFormat="1" x14ac:dyDescent="0.3">
      <c r="A3" s="164" t="s">
        <v>141</v>
      </c>
      <c r="B3" s="163"/>
      <c r="C3" s="162" t="s">
        <v>140</v>
      </c>
      <c r="D3" s="162" t="s">
        <v>139</v>
      </c>
    </row>
    <row r="5" spans="1:4" ht="15.6" x14ac:dyDescent="0.3">
      <c r="A5" s="134" t="s">
        <v>281</v>
      </c>
    </row>
    <row r="6" spans="1:4" x14ac:dyDescent="0.25">
      <c r="A6" s="109" t="s">
        <v>138</v>
      </c>
      <c r="C6" s="161"/>
      <c r="D6" s="161"/>
    </row>
    <row r="7" spans="1:4" x14ac:dyDescent="0.25">
      <c r="A7" s="153" t="s">
        <v>79</v>
      </c>
      <c r="B7" s="153" t="s">
        <v>110</v>
      </c>
      <c r="C7" s="160" t="s">
        <v>137</v>
      </c>
      <c r="D7" s="160" t="s">
        <v>137</v>
      </c>
    </row>
    <row r="8" spans="1:4" x14ac:dyDescent="0.25">
      <c r="A8" s="132" t="s">
        <v>280</v>
      </c>
      <c r="B8" s="131" t="s">
        <v>135</v>
      </c>
      <c r="C8" s="140">
        <v>0</v>
      </c>
      <c r="D8" s="139">
        <v>0</v>
      </c>
    </row>
    <row r="9" spans="1:4" x14ac:dyDescent="0.25">
      <c r="A9" s="132" t="s">
        <v>279</v>
      </c>
      <c r="B9" s="131" t="s">
        <v>133</v>
      </c>
      <c r="C9" s="159">
        <v>0</v>
      </c>
      <c r="D9" s="159">
        <v>0</v>
      </c>
    </row>
    <row r="10" spans="1:4" x14ac:dyDescent="0.25">
      <c r="A10" s="128" t="s">
        <v>278</v>
      </c>
      <c r="B10" s="127" t="s">
        <v>129</v>
      </c>
      <c r="C10" s="140">
        <v>0</v>
      </c>
      <c r="D10" s="140">
        <v>0</v>
      </c>
    </row>
    <row r="11" spans="1:4" x14ac:dyDescent="0.25">
      <c r="A11" s="128" t="s">
        <v>277</v>
      </c>
      <c r="B11" s="127" t="s">
        <v>127</v>
      </c>
      <c r="C11" s="140">
        <v>0</v>
      </c>
      <c r="D11" s="140">
        <v>0</v>
      </c>
    </row>
    <row r="12" spans="1:4" x14ac:dyDescent="0.25">
      <c r="A12" s="128" t="s">
        <v>276</v>
      </c>
      <c r="B12" s="127" t="s">
        <v>125</v>
      </c>
      <c r="C12" s="140">
        <v>0</v>
      </c>
      <c r="D12" s="140">
        <v>0</v>
      </c>
    </row>
    <row r="13" spans="1:4" x14ac:dyDescent="0.25">
      <c r="A13" s="128">
        <v>1479</v>
      </c>
      <c r="B13" s="127" t="s">
        <v>124</v>
      </c>
      <c r="C13" s="140">
        <v>0</v>
      </c>
      <c r="D13" s="140">
        <v>0</v>
      </c>
    </row>
    <row r="14" spans="1:4" x14ac:dyDescent="0.25">
      <c r="A14" s="128" t="s">
        <v>123</v>
      </c>
      <c r="B14" s="127" t="s">
        <v>122</v>
      </c>
      <c r="C14" s="140">
        <v>0</v>
      </c>
      <c r="D14" s="140">
        <v>0</v>
      </c>
    </row>
    <row r="15" spans="1:4" x14ac:dyDescent="0.25">
      <c r="A15" s="128" t="s">
        <v>121</v>
      </c>
      <c r="B15" s="127" t="s">
        <v>120</v>
      </c>
      <c r="C15" s="140">
        <v>0</v>
      </c>
      <c r="D15" s="140">
        <v>0</v>
      </c>
    </row>
    <row r="16" spans="1:4" x14ac:dyDescent="0.25">
      <c r="A16" s="128" t="s">
        <v>119</v>
      </c>
      <c r="B16" s="127" t="s">
        <v>118</v>
      </c>
      <c r="C16" s="140">
        <v>0</v>
      </c>
      <c r="D16" s="140">
        <v>0</v>
      </c>
    </row>
    <row r="17" spans="1:4" x14ac:dyDescent="0.25">
      <c r="A17" s="128" t="s">
        <v>117</v>
      </c>
      <c r="B17" s="127" t="s">
        <v>116</v>
      </c>
      <c r="C17" s="140">
        <v>0</v>
      </c>
      <c r="D17" s="140">
        <v>0</v>
      </c>
    </row>
    <row r="18" spans="1:4" x14ac:dyDescent="0.25">
      <c r="A18" s="128" t="s">
        <v>275</v>
      </c>
      <c r="B18" s="127" t="s">
        <v>155</v>
      </c>
      <c r="C18" s="140">
        <v>0</v>
      </c>
      <c r="D18" s="140">
        <v>0</v>
      </c>
    </row>
    <row r="19" spans="1:4" x14ac:dyDescent="0.25">
      <c r="A19" s="128" t="s">
        <v>274</v>
      </c>
      <c r="B19" s="127" t="s">
        <v>154</v>
      </c>
      <c r="C19" s="140">
        <v>0</v>
      </c>
      <c r="D19" s="140">
        <v>0</v>
      </c>
    </row>
    <row r="20" spans="1:4" x14ac:dyDescent="0.25">
      <c r="A20" s="128" t="s">
        <v>273</v>
      </c>
      <c r="B20" s="127" t="s">
        <v>153</v>
      </c>
      <c r="C20" s="159">
        <v>0</v>
      </c>
      <c r="D20" s="159">
        <v>0</v>
      </c>
    </row>
    <row r="21" spans="1:4" x14ac:dyDescent="0.25">
      <c r="A21" s="158" t="s">
        <v>152</v>
      </c>
      <c r="B21" s="157" t="s">
        <v>151</v>
      </c>
      <c r="C21" s="156">
        <v>0</v>
      </c>
      <c r="D21" s="156">
        <v>0</v>
      </c>
    </row>
    <row r="22" spans="1:4" x14ac:dyDescent="0.25">
      <c r="A22" s="155"/>
      <c r="B22" s="133" t="s">
        <v>112</v>
      </c>
      <c r="C22" s="154">
        <f>SUM(C8-C9,C10:C19,-C21,-C20)</f>
        <v>0</v>
      </c>
      <c r="D22" s="154">
        <f>SUM(D8-D9,D10:D19,-D21,-D20)</f>
        <v>0</v>
      </c>
    </row>
    <row r="24" spans="1:4" ht="15.6" x14ac:dyDescent="0.3">
      <c r="A24" s="134" t="s">
        <v>272</v>
      </c>
    </row>
    <row r="25" spans="1:4" x14ac:dyDescent="0.25">
      <c r="A25" s="153" t="s">
        <v>111</v>
      </c>
      <c r="B25" s="153" t="s">
        <v>110</v>
      </c>
      <c r="C25" s="117"/>
      <c r="D25" s="117"/>
    </row>
    <row r="26" spans="1:4" x14ac:dyDescent="0.25">
      <c r="A26" s="149" t="s">
        <v>109</v>
      </c>
      <c r="B26" s="131" t="s">
        <v>108</v>
      </c>
      <c r="C26" s="139">
        <v>0</v>
      </c>
      <c r="D26" s="139">
        <v>0</v>
      </c>
    </row>
    <row r="27" spans="1:4" x14ac:dyDescent="0.25">
      <c r="A27" s="152"/>
      <c r="B27" s="151" t="s">
        <v>107</v>
      </c>
      <c r="C27" s="150">
        <v>0</v>
      </c>
      <c r="D27" s="150">
        <v>0</v>
      </c>
    </row>
    <row r="28" spans="1:4" x14ac:dyDescent="0.25">
      <c r="A28" s="149" t="s">
        <v>106</v>
      </c>
      <c r="B28" s="148" t="s">
        <v>105</v>
      </c>
      <c r="C28" s="147">
        <v>0</v>
      </c>
      <c r="D28" s="147">
        <v>0</v>
      </c>
    </row>
    <row r="29" spans="1:4" x14ac:dyDescent="0.25">
      <c r="A29" s="246" t="s">
        <v>104</v>
      </c>
      <c r="B29" s="131" t="s">
        <v>103</v>
      </c>
      <c r="C29" s="139">
        <v>0</v>
      </c>
      <c r="D29" s="139">
        <v>0</v>
      </c>
    </row>
    <row r="30" spans="1:4" x14ac:dyDescent="0.25">
      <c r="A30" s="247"/>
      <c r="B30" s="127" t="s">
        <v>102</v>
      </c>
      <c r="C30" s="140">
        <v>0</v>
      </c>
      <c r="D30" s="139">
        <v>0</v>
      </c>
    </row>
    <row r="31" spans="1:4" x14ac:dyDescent="0.25">
      <c r="A31" s="247"/>
      <c r="B31" s="127" t="s">
        <v>101</v>
      </c>
      <c r="C31" s="118">
        <v>0</v>
      </c>
      <c r="D31" s="118">
        <v>0</v>
      </c>
    </row>
    <row r="32" spans="1:4" x14ac:dyDescent="0.25">
      <c r="A32" s="247"/>
      <c r="B32" s="127" t="s">
        <v>100</v>
      </c>
      <c r="C32" s="139">
        <v>0</v>
      </c>
      <c r="D32" s="139">
        <v>0</v>
      </c>
    </row>
    <row r="33" spans="1:5" x14ac:dyDescent="0.25">
      <c r="A33" s="247"/>
      <c r="B33" s="127" t="s">
        <v>99</v>
      </c>
      <c r="C33" s="140">
        <v>0</v>
      </c>
      <c r="D33" s="139">
        <v>0</v>
      </c>
    </row>
    <row r="34" spans="1:5" x14ac:dyDescent="0.25">
      <c r="A34" s="247"/>
      <c r="B34" s="127" t="s">
        <v>98</v>
      </c>
      <c r="C34" s="140">
        <v>0</v>
      </c>
      <c r="D34" s="139">
        <v>0</v>
      </c>
    </row>
    <row r="35" spans="1:5" x14ac:dyDescent="0.25">
      <c r="A35" s="247"/>
      <c r="B35" s="138" t="s">
        <v>97</v>
      </c>
      <c r="C35" s="137">
        <v>0</v>
      </c>
      <c r="D35" s="137">
        <v>0</v>
      </c>
    </row>
    <row r="36" spans="1:5" ht="14.4" x14ac:dyDescent="0.3">
      <c r="A36" s="146"/>
      <c r="B36" s="144" t="s">
        <v>92</v>
      </c>
      <c r="C36" s="143">
        <f>SUM(C29:C30,-C31,C32:C35)</f>
        <v>0</v>
      </c>
      <c r="D36" s="143">
        <f>SUM(D29:D30,-D31,D32:D35)</f>
        <v>0</v>
      </c>
      <c r="E36" s="142"/>
    </row>
    <row r="37" spans="1:5" x14ac:dyDescent="0.25">
      <c r="A37" s="248" t="s">
        <v>96</v>
      </c>
      <c r="B37" s="131" t="s">
        <v>95</v>
      </c>
      <c r="C37" s="139">
        <v>0</v>
      </c>
      <c r="D37" s="139">
        <v>0</v>
      </c>
    </row>
    <row r="38" spans="1:5" x14ac:dyDescent="0.25">
      <c r="A38" s="249"/>
      <c r="B38" s="127" t="s">
        <v>94</v>
      </c>
      <c r="C38" s="140">
        <v>0</v>
      </c>
      <c r="D38" s="140">
        <v>0</v>
      </c>
    </row>
    <row r="39" spans="1:5" x14ac:dyDescent="0.25">
      <c r="A39" s="250"/>
      <c r="B39" s="138" t="s">
        <v>93</v>
      </c>
      <c r="C39" s="137">
        <v>0</v>
      </c>
      <c r="D39" s="137">
        <v>0</v>
      </c>
    </row>
    <row r="40" spans="1:5" ht="14.4" x14ac:dyDescent="0.3">
      <c r="A40" s="145"/>
      <c r="B40" s="144" t="s">
        <v>92</v>
      </c>
      <c r="C40" s="143">
        <f>SUM(C37:C39)</f>
        <v>0</v>
      </c>
      <c r="D40" s="143">
        <f>SUM(D37:D39)</f>
        <v>0</v>
      </c>
      <c r="E40" s="142"/>
    </row>
    <row r="41" spans="1:5" ht="12.75" customHeight="1" x14ac:dyDescent="0.25">
      <c r="A41" s="251" t="s">
        <v>91</v>
      </c>
      <c r="B41" s="124" t="s">
        <v>90</v>
      </c>
      <c r="C41" s="139">
        <v>0</v>
      </c>
      <c r="D41" s="139">
        <v>0</v>
      </c>
    </row>
    <row r="42" spans="1:5" ht="12.75" customHeight="1" x14ac:dyDescent="0.25">
      <c r="A42" s="252"/>
      <c r="B42" s="141" t="s">
        <v>89</v>
      </c>
      <c r="C42" s="139">
        <v>0</v>
      </c>
      <c r="D42" s="139">
        <v>0</v>
      </c>
    </row>
    <row r="43" spans="1:5" ht="12.75" customHeight="1" x14ac:dyDescent="0.25">
      <c r="A43" s="252"/>
      <c r="B43" s="141" t="s">
        <v>88</v>
      </c>
      <c r="C43" s="140">
        <v>0</v>
      </c>
      <c r="D43" s="139">
        <v>0</v>
      </c>
    </row>
    <row r="44" spans="1:5" ht="12.75" customHeight="1" x14ac:dyDescent="0.25">
      <c r="A44" s="253"/>
      <c r="B44" s="138" t="s">
        <v>87</v>
      </c>
      <c r="C44" s="137">
        <v>0</v>
      </c>
      <c r="D44" s="137">
        <v>0</v>
      </c>
    </row>
    <row r="45" spans="1:5" x14ac:dyDescent="0.25">
      <c r="A45" s="248" t="s">
        <v>86</v>
      </c>
      <c r="B45" s="124" t="s">
        <v>85</v>
      </c>
      <c r="C45" s="139">
        <v>0</v>
      </c>
      <c r="D45" s="139">
        <v>0</v>
      </c>
    </row>
    <row r="46" spans="1:5" x14ac:dyDescent="0.25">
      <c r="A46" s="249"/>
      <c r="B46" s="141" t="s">
        <v>84</v>
      </c>
      <c r="C46" s="140">
        <v>0</v>
      </c>
      <c r="D46" s="139">
        <v>0</v>
      </c>
    </row>
    <row r="47" spans="1:5" x14ac:dyDescent="0.25">
      <c r="A47" s="249"/>
      <c r="B47" s="141" t="s">
        <v>83</v>
      </c>
      <c r="C47" s="140">
        <v>0</v>
      </c>
      <c r="D47" s="139">
        <v>0</v>
      </c>
    </row>
    <row r="48" spans="1:5" x14ac:dyDescent="0.25">
      <c r="A48" s="250"/>
      <c r="B48" s="138" t="s">
        <v>82</v>
      </c>
      <c r="C48" s="137">
        <v>0</v>
      </c>
      <c r="D48" s="137">
        <v>0</v>
      </c>
    </row>
    <row r="49" spans="1:5" x14ac:dyDescent="0.25">
      <c r="B49" s="133" t="s">
        <v>81</v>
      </c>
      <c r="C49" s="136">
        <f>C26-C27+C28+SUMIF(C36,"&gt;0",C36)+SUMIF(C40,"&gt;0",C40)+SUM(C41:C48)</f>
        <v>0</v>
      </c>
      <c r="D49" s="136">
        <f>D26-D27+D28+SUMIF(D36,"&gt;0",D36)+SUMIF(D40,"&gt;0",D40)+SUM(D41:D48)</f>
        <v>0</v>
      </c>
      <c r="E49" s="136"/>
    </row>
    <row r="50" spans="1:5" x14ac:dyDescent="0.25">
      <c r="C50" s="114"/>
      <c r="D50" s="114"/>
    </row>
    <row r="51" spans="1:5" ht="15.6" x14ac:dyDescent="0.3">
      <c r="A51" s="134" t="s">
        <v>271</v>
      </c>
      <c r="C51" s="114"/>
      <c r="D51" s="114"/>
    </row>
    <row r="52" spans="1:5" x14ac:dyDescent="0.25">
      <c r="B52" s="133" t="s">
        <v>80</v>
      </c>
      <c r="C52" s="135">
        <v>0</v>
      </c>
      <c r="D52" s="135">
        <v>0</v>
      </c>
    </row>
    <row r="53" spans="1:5" x14ac:dyDescent="0.25">
      <c r="C53" s="114"/>
      <c r="D53" s="114"/>
    </row>
    <row r="54" spans="1:5" ht="15.6" x14ac:dyDescent="0.3">
      <c r="A54" s="134" t="s">
        <v>270</v>
      </c>
    </row>
    <row r="55" spans="1:5" x14ac:dyDescent="0.25">
      <c r="A55" s="133" t="s">
        <v>79</v>
      </c>
      <c r="C55" s="114"/>
      <c r="D55" s="114"/>
    </row>
    <row r="56" spans="1:5" x14ac:dyDescent="0.25">
      <c r="A56" s="132" t="s">
        <v>78</v>
      </c>
      <c r="B56" s="131" t="s">
        <v>77</v>
      </c>
      <c r="C56" s="130">
        <v>0</v>
      </c>
      <c r="D56" s="130">
        <v>0</v>
      </c>
    </row>
    <row r="57" spans="1:5" x14ac:dyDescent="0.25">
      <c r="A57" s="128" t="s">
        <v>76</v>
      </c>
      <c r="B57" s="129" t="s">
        <v>75</v>
      </c>
      <c r="C57" s="126">
        <v>0</v>
      </c>
      <c r="D57" s="126">
        <v>0</v>
      </c>
    </row>
    <row r="58" spans="1:5" x14ac:dyDescent="0.25">
      <c r="A58" s="128" t="s">
        <v>74</v>
      </c>
      <c r="B58" s="127" t="s">
        <v>73</v>
      </c>
      <c r="C58" s="126">
        <v>0</v>
      </c>
      <c r="D58" s="126">
        <v>0</v>
      </c>
    </row>
    <row r="59" spans="1:5" x14ac:dyDescent="0.25">
      <c r="A59" s="128" t="s">
        <v>147</v>
      </c>
      <c r="B59" s="127" t="s">
        <v>146</v>
      </c>
      <c r="C59" s="126">
        <v>0</v>
      </c>
      <c r="D59" s="126">
        <v>0</v>
      </c>
    </row>
    <row r="60" spans="1:5" x14ac:dyDescent="0.25">
      <c r="A60" s="128" t="s">
        <v>145</v>
      </c>
      <c r="B60" s="127" t="s">
        <v>144</v>
      </c>
      <c r="C60" s="126">
        <v>0</v>
      </c>
      <c r="D60" s="126">
        <v>0</v>
      </c>
    </row>
    <row r="61" spans="1:5" x14ac:dyDescent="0.25">
      <c r="A61" s="128" t="s">
        <v>143</v>
      </c>
      <c r="B61" s="127" t="s">
        <v>142</v>
      </c>
      <c r="C61" s="126">
        <v>0</v>
      </c>
      <c r="D61" s="126">
        <v>0</v>
      </c>
    </row>
    <row r="62" spans="1:5" x14ac:dyDescent="0.25">
      <c r="A62" s="125"/>
      <c r="B62" s="124"/>
      <c r="C62" s="123">
        <f>SUM(C56:C58,C60:C61)</f>
        <v>0</v>
      </c>
      <c r="D62" s="123">
        <f>SUM(D56:D58,D60:D61)</f>
        <v>0</v>
      </c>
    </row>
    <row r="63" spans="1:5" x14ac:dyDescent="0.25">
      <c r="A63" s="120" t="s">
        <v>72</v>
      </c>
    </row>
    <row r="64" spans="1:5" x14ac:dyDescent="0.25">
      <c r="A64" s="120"/>
      <c r="B64" s="122" t="s">
        <v>71</v>
      </c>
      <c r="C64" s="121">
        <v>0</v>
      </c>
      <c r="D64" s="121">
        <v>0</v>
      </c>
    </row>
    <row r="65" spans="1:4" x14ac:dyDescent="0.25">
      <c r="A65" s="120"/>
      <c r="B65" s="119" t="s">
        <v>70</v>
      </c>
      <c r="C65" s="118">
        <v>0</v>
      </c>
      <c r="D65" s="118">
        <v>0</v>
      </c>
    </row>
    <row r="66" spans="1:4" x14ac:dyDescent="0.25">
      <c r="A66" s="120"/>
      <c r="B66" s="119" t="s">
        <v>69</v>
      </c>
      <c r="C66" s="118">
        <v>0</v>
      </c>
      <c r="D66" s="118">
        <v>0</v>
      </c>
    </row>
    <row r="67" spans="1:4" x14ac:dyDescent="0.25">
      <c r="A67" s="117"/>
      <c r="B67" s="116" t="s">
        <v>68</v>
      </c>
      <c r="C67" s="115">
        <v>0</v>
      </c>
      <c r="D67" s="115">
        <v>0</v>
      </c>
    </row>
    <row r="68" spans="1:4" x14ac:dyDescent="0.25">
      <c r="C68" s="114">
        <f>C62-SUM(C64:C67)</f>
        <v>0</v>
      </c>
      <c r="D68" s="114">
        <f>D62-SUM(D64:D67)</f>
        <v>0</v>
      </c>
    </row>
    <row r="70" spans="1:4" s="110" customFormat="1" ht="15.6" x14ac:dyDescent="0.3">
      <c r="A70" s="113" t="s">
        <v>67</v>
      </c>
      <c r="B70" s="112"/>
      <c r="C70" s="111">
        <f>C22+C49+C52+C68</f>
        <v>0</v>
      </c>
      <c r="D70" s="111">
        <f>D22+D49+D52+D68</f>
        <v>0</v>
      </c>
    </row>
  </sheetData>
  <sheetProtection selectLockedCells="1"/>
  <mergeCells count="4">
    <mergeCell ref="A29:A35"/>
    <mergeCell ref="A37:A39"/>
    <mergeCell ref="A41:A44"/>
    <mergeCell ref="A45:A48"/>
  </mergeCells>
  <pageMargins left="0.51181102362204722" right="0.31496062992125984" top="0.35433070866141736" bottom="0.35433070866141736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0C8D-922A-4161-BDD0-F2E8274297BD}">
  <sheetPr>
    <pageSetUpPr fitToPage="1"/>
  </sheetPr>
  <dimension ref="A1:E71"/>
  <sheetViews>
    <sheetView workbookViewId="0">
      <selection activeCell="A63" sqref="A63"/>
    </sheetView>
  </sheetViews>
  <sheetFormatPr baseColWidth="10" defaultRowHeight="13.2" x14ac:dyDescent="0.25"/>
  <cols>
    <col min="1" max="1" width="39.109375" style="109" customWidth="1"/>
    <col min="2" max="2" width="121.5546875" style="109" bestFit="1" customWidth="1"/>
    <col min="3" max="4" width="14" style="109" customWidth="1"/>
    <col min="5" max="5" width="12.33203125" style="109" bestFit="1" customWidth="1"/>
    <col min="6" max="240" width="11.44140625" style="109"/>
    <col min="241" max="241" width="8.33203125" style="109" customWidth="1"/>
    <col min="242" max="242" width="72.5546875" style="109" customWidth="1"/>
    <col min="243" max="244" width="14" style="109" customWidth="1"/>
    <col min="245" max="496" width="11.44140625" style="109"/>
    <col min="497" max="497" width="8.33203125" style="109" customWidth="1"/>
    <col min="498" max="498" width="72.5546875" style="109" customWidth="1"/>
    <col min="499" max="500" width="14" style="109" customWidth="1"/>
    <col min="501" max="752" width="11.44140625" style="109"/>
    <col min="753" max="753" width="8.33203125" style="109" customWidth="1"/>
    <col min="754" max="754" width="72.5546875" style="109" customWidth="1"/>
    <col min="755" max="756" width="14" style="109" customWidth="1"/>
    <col min="757" max="1008" width="11.44140625" style="109"/>
    <col min="1009" max="1009" width="8.33203125" style="109" customWidth="1"/>
    <col min="1010" max="1010" width="72.5546875" style="109" customWidth="1"/>
    <col min="1011" max="1012" width="14" style="109" customWidth="1"/>
    <col min="1013" max="1264" width="11.44140625" style="109"/>
    <col min="1265" max="1265" width="8.33203125" style="109" customWidth="1"/>
    <col min="1266" max="1266" width="72.5546875" style="109" customWidth="1"/>
    <col min="1267" max="1268" width="14" style="109" customWidth="1"/>
    <col min="1269" max="1520" width="11.44140625" style="109"/>
    <col min="1521" max="1521" width="8.33203125" style="109" customWidth="1"/>
    <col min="1522" max="1522" width="72.5546875" style="109" customWidth="1"/>
    <col min="1523" max="1524" width="14" style="109" customWidth="1"/>
    <col min="1525" max="1776" width="11.44140625" style="109"/>
    <col min="1777" max="1777" width="8.33203125" style="109" customWidth="1"/>
    <col min="1778" max="1778" width="72.5546875" style="109" customWidth="1"/>
    <col min="1779" max="1780" width="14" style="109" customWidth="1"/>
    <col min="1781" max="2032" width="11.44140625" style="109"/>
    <col min="2033" max="2033" width="8.33203125" style="109" customWidth="1"/>
    <col min="2034" max="2034" width="72.5546875" style="109" customWidth="1"/>
    <col min="2035" max="2036" width="14" style="109" customWidth="1"/>
    <col min="2037" max="2288" width="11.44140625" style="109"/>
    <col min="2289" max="2289" width="8.33203125" style="109" customWidth="1"/>
    <col min="2290" max="2290" width="72.5546875" style="109" customWidth="1"/>
    <col min="2291" max="2292" width="14" style="109" customWidth="1"/>
    <col min="2293" max="2544" width="11.44140625" style="109"/>
    <col min="2545" max="2545" width="8.33203125" style="109" customWidth="1"/>
    <col min="2546" max="2546" width="72.5546875" style="109" customWidth="1"/>
    <col min="2547" max="2548" width="14" style="109" customWidth="1"/>
    <col min="2549" max="2800" width="11.44140625" style="109"/>
    <col min="2801" max="2801" width="8.33203125" style="109" customWidth="1"/>
    <col min="2802" max="2802" width="72.5546875" style="109" customWidth="1"/>
    <col min="2803" max="2804" width="14" style="109" customWidth="1"/>
    <col min="2805" max="3056" width="11.44140625" style="109"/>
    <col min="3057" max="3057" width="8.33203125" style="109" customWidth="1"/>
    <col min="3058" max="3058" width="72.5546875" style="109" customWidth="1"/>
    <col min="3059" max="3060" width="14" style="109" customWidth="1"/>
    <col min="3061" max="3312" width="11.44140625" style="109"/>
    <col min="3313" max="3313" width="8.33203125" style="109" customWidth="1"/>
    <col min="3314" max="3314" width="72.5546875" style="109" customWidth="1"/>
    <col min="3315" max="3316" width="14" style="109" customWidth="1"/>
    <col min="3317" max="3568" width="11.44140625" style="109"/>
    <col min="3569" max="3569" width="8.33203125" style="109" customWidth="1"/>
    <col min="3570" max="3570" width="72.5546875" style="109" customWidth="1"/>
    <col min="3571" max="3572" width="14" style="109" customWidth="1"/>
    <col min="3573" max="3824" width="11.44140625" style="109"/>
    <col min="3825" max="3825" width="8.33203125" style="109" customWidth="1"/>
    <col min="3826" max="3826" width="72.5546875" style="109" customWidth="1"/>
    <col min="3827" max="3828" width="14" style="109" customWidth="1"/>
    <col min="3829" max="4080" width="11.44140625" style="109"/>
    <col min="4081" max="4081" width="8.33203125" style="109" customWidth="1"/>
    <col min="4082" max="4082" width="72.5546875" style="109" customWidth="1"/>
    <col min="4083" max="4084" width="14" style="109" customWidth="1"/>
    <col min="4085" max="4336" width="11.44140625" style="109"/>
    <col min="4337" max="4337" width="8.33203125" style="109" customWidth="1"/>
    <col min="4338" max="4338" width="72.5546875" style="109" customWidth="1"/>
    <col min="4339" max="4340" width="14" style="109" customWidth="1"/>
    <col min="4341" max="4592" width="11.44140625" style="109"/>
    <col min="4593" max="4593" width="8.33203125" style="109" customWidth="1"/>
    <col min="4594" max="4594" width="72.5546875" style="109" customWidth="1"/>
    <col min="4595" max="4596" width="14" style="109" customWidth="1"/>
    <col min="4597" max="4848" width="11.44140625" style="109"/>
    <col min="4849" max="4849" width="8.33203125" style="109" customWidth="1"/>
    <col min="4850" max="4850" width="72.5546875" style="109" customWidth="1"/>
    <col min="4851" max="4852" width="14" style="109" customWidth="1"/>
    <col min="4853" max="5104" width="11.44140625" style="109"/>
    <col min="5105" max="5105" width="8.33203125" style="109" customWidth="1"/>
    <col min="5106" max="5106" width="72.5546875" style="109" customWidth="1"/>
    <col min="5107" max="5108" width="14" style="109" customWidth="1"/>
    <col min="5109" max="5360" width="11.44140625" style="109"/>
    <col min="5361" max="5361" width="8.33203125" style="109" customWidth="1"/>
    <col min="5362" max="5362" width="72.5546875" style="109" customWidth="1"/>
    <col min="5363" max="5364" width="14" style="109" customWidth="1"/>
    <col min="5365" max="5616" width="11.44140625" style="109"/>
    <col min="5617" max="5617" width="8.33203125" style="109" customWidth="1"/>
    <col min="5618" max="5618" width="72.5546875" style="109" customWidth="1"/>
    <col min="5619" max="5620" width="14" style="109" customWidth="1"/>
    <col min="5621" max="5872" width="11.44140625" style="109"/>
    <col min="5873" max="5873" width="8.33203125" style="109" customWidth="1"/>
    <col min="5874" max="5874" width="72.5546875" style="109" customWidth="1"/>
    <col min="5875" max="5876" width="14" style="109" customWidth="1"/>
    <col min="5877" max="6128" width="11.44140625" style="109"/>
    <col min="6129" max="6129" width="8.33203125" style="109" customWidth="1"/>
    <col min="6130" max="6130" width="72.5546875" style="109" customWidth="1"/>
    <col min="6131" max="6132" width="14" style="109" customWidth="1"/>
    <col min="6133" max="6384" width="11.44140625" style="109"/>
    <col min="6385" max="6385" width="8.33203125" style="109" customWidth="1"/>
    <col min="6386" max="6386" width="72.5546875" style="109" customWidth="1"/>
    <col min="6387" max="6388" width="14" style="109" customWidth="1"/>
    <col min="6389" max="6640" width="11.44140625" style="109"/>
    <col min="6641" max="6641" width="8.33203125" style="109" customWidth="1"/>
    <col min="6642" max="6642" width="72.5546875" style="109" customWidth="1"/>
    <col min="6643" max="6644" width="14" style="109" customWidth="1"/>
    <col min="6645" max="6896" width="11.44140625" style="109"/>
    <col min="6897" max="6897" width="8.33203125" style="109" customWidth="1"/>
    <col min="6898" max="6898" width="72.5546875" style="109" customWidth="1"/>
    <col min="6899" max="6900" width="14" style="109" customWidth="1"/>
    <col min="6901" max="7152" width="11.44140625" style="109"/>
    <col min="7153" max="7153" width="8.33203125" style="109" customWidth="1"/>
    <col min="7154" max="7154" width="72.5546875" style="109" customWidth="1"/>
    <col min="7155" max="7156" width="14" style="109" customWidth="1"/>
    <col min="7157" max="7408" width="11.44140625" style="109"/>
    <col min="7409" max="7409" width="8.33203125" style="109" customWidth="1"/>
    <col min="7410" max="7410" width="72.5546875" style="109" customWidth="1"/>
    <col min="7411" max="7412" width="14" style="109" customWidth="1"/>
    <col min="7413" max="7664" width="11.44140625" style="109"/>
    <col min="7665" max="7665" width="8.33203125" style="109" customWidth="1"/>
    <col min="7666" max="7666" width="72.5546875" style="109" customWidth="1"/>
    <col min="7667" max="7668" width="14" style="109" customWidth="1"/>
    <col min="7669" max="7920" width="11.44140625" style="109"/>
    <col min="7921" max="7921" width="8.33203125" style="109" customWidth="1"/>
    <col min="7922" max="7922" width="72.5546875" style="109" customWidth="1"/>
    <col min="7923" max="7924" width="14" style="109" customWidth="1"/>
    <col min="7925" max="8176" width="11.44140625" style="109"/>
    <col min="8177" max="8177" width="8.33203125" style="109" customWidth="1"/>
    <col min="8178" max="8178" width="72.5546875" style="109" customWidth="1"/>
    <col min="8179" max="8180" width="14" style="109" customWidth="1"/>
    <col min="8181" max="8432" width="11.44140625" style="109"/>
    <col min="8433" max="8433" width="8.33203125" style="109" customWidth="1"/>
    <col min="8434" max="8434" width="72.5546875" style="109" customWidth="1"/>
    <col min="8435" max="8436" width="14" style="109" customWidth="1"/>
    <col min="8437" max="8688" width="11.44140625" style="109"/>
    <col min="8689" max="8689" width="8.33203125" style="109" customWidth="1"/>
    <col min="8690" max="8690" width="72.5546875" style="109" customWidth="1"/>
    <col min="8691" max="8692" width="14" style="109" customWidth="1"/>
    <col min="8693" max="8944" width="11.44140625" style="109"/>
    <col min="8945" max="8945" width="8.33203125" style="109" customWidth="1"/>
    <col min="8946" max="8946" width="72.5546875" style="109" customWidth="1"/>
    <col min="8947" max="8948" width="14" style="109" customWidth="1"/>
    <col min="8949" max="9200" width="11.44140625" style="109"/>
    <col min="9201" max="9201" width="8.33203125" style="109" customWidth="1"/>
    <col min="9202" max="9202" width="72.5546875" style="109" customWidth="1"/>
    <col min="9203" max="9204" width="14" style="109" customWidth="1"/>
    <col min="9205" max="9456" width="11.44140625" style="109"/>
    <col min="9457" max="9457" width="8.33203125" style="109" customWidth="1"/>
    <col min="9458" max="9458" width="72.5546875" style="109" customWidth="1"/>
    <col min="9459" max="9460" width="14" style="109" customWidth="1"/>
    <col min="9461" max="9712" width="11.44140625" style="109"/>
    <col min="9713" max="9713" width="8.33203125" style="109" customWidth="1"/>
    <col min="9714" max="9714" width="72.5546875" style="109" customWidth="1"/>
    <col min="9715" max="9716" width="14" style="109" customWidth="1"/>
    <col min="9717" max="9968" width="11.44140625" style="109"/>
    <col min="9969" max="9969" width="8.33203125" style="109" customWidth="1"/>
    <col min="9970" max="9970" width="72.5546875" style="109" customWidth="1"/>
    <col min="9971" max="9972" width="14" style="109" customWidth="1"/>
    <col min="9973" max="10224" width="11.44140625" style="109"/>
    <col min="10225" max="10225" width="8.33203125" style="109" customWidth="1"/>
    <col min="10226" max="10226" width="72.5546875" style="109" customWidth="1"/>
    <col min="10227" max="10228" width="14" style="109" customWidth="1"/>
    <col min="10229" max="10480" width="11.44140625" style="109"/>
    <col min="10481" max="10481" width="8.33203125" style="109" customWidth="1"/>
    <col min="10482" max="10482" width="72.5546875" style="109" customWidth="1"/>
    <col min="10483" max="10484" width="14" style="109" customWidth="1"/>
    <col min="10485" max="10736" width="11.44140625" style="109"/>
    <col min="10737" max="10737" width="8.33203125" style="109" customWidth="1"/>
    <col min="10738" max="10738" width="72.5546875" style="109" customWidth="1"/>
    <col min="10739" max="10740" width="14" style="109" customWidth="1"/>
    <col min="10741" max="10992" width="11.44140625" style="109"/>
    <col min="10993" max="10993" width="8.33203125" style="109" customWidth="1"/>
    <col min="10994" max="10994" width="72.5546875" style="109" customWidth="1"/>
    <col min="10995" max="10996" width="14" style="109" customWidth="1"/>
    <col min="10997" max="11248" width="11.44140625" style="109"/>
    <col min="11249" max="11249" width="8.33203125" style="109" customWidth="1"/>
    <col min="11250" max="11250" width="72.5546875" style="109" customWidth="1"/>
    <col min="11251" max="11252" width="14" style="109" customWidth="1"/>
    <col min="11253" max="11504" width="11.44140625" style="109"/>
    <col min="11505" max="11505" width="8.33203125" style="109" customWidth="1"/>
    <col min="11506" max="11506" width="72.5546875" style="109" customWidth="1"/>
    <col min="11507" max="11508" width="14" style="109" customWidth="1"/>
    <col min="11509" max="11760" width="11.44140625" style="109"/>
    <col min="11761" max="11761" width="8.33203125" style="109" customWidth="1"/>
    <col min="11762" max="11762" width="72.5546875" style="109" customWidth="1"/>
    <col min="11763" max="11764" width="14" style="109" customWidth="1"/>
    <col min="11765" max="12016" width="11.44140625" style="109"/>
    <col min="12017" max="12017" width="8.33203125" style="109" customWidth="1"/>
    <col min="12018" max="12018" width="72.5546875" style="109" customWidth="1"/>
    <col min="12019" max="12020" width="14" style="109" customWidth="1"/>
    <col min="12021" max="12272" width="11.44140625" style="109"/>
    <col min="12273" max="12273" width="8.33203125" style="109" customWidth="1"/>
    <col min="12274" max="12274" width="72.5546875" style="109" customWidth="1"/>
    <col min="12275" max="12276" width="14" style="109" customWidth="1"/>
    <col min="12277" max="12528" width="11.44140625" style="109"/>
    <col min="12529" max="12529" width="8.33203125" style="109" customWidth="1"/>
    <col min="12530" max="12530" width="72.5546875" style="109" customWidth="1"/>
    <col min="12531" max="12532" width="14" style="109" customWidth="1"/>
    <col min="12533" max="12784" width="11.44140625" style="109"/>
    <col min="12785" max="12785" width="8.33203125" style="109" customWidth="1"/>
    <col min="12786" max="12786" width="72.5546875" style="109" customWidth="1"/>
    <col min="12787" max="12788" width="14" style="109" customWidth="1"/>
    <col min="12789" max="13040" width="11.44140625" style="109"/>
    <col min="13041" max="13041" width="8.33203125" style="109" customWidth="1"/>
    <col min="13042" max="13042" width="72.5546875" style="109" customWidth="1"/>
    <col min="13043" max="13044" width="14" style="109" customWidth="1"/>
    <col min="13045" max="13296" width="11.44140625" style="109"/>
    <col min="13297" max="13297" width="8.33203125" style="109" customWidth="1"/>
    <col min="13298" max="13298" width="72.5546875" style="109" customWidth="1"/>
    <col min="13299" max="13300" width="14" style="109" customWidth="1"/>
    <col min="13301" max="13552" width="11.44140625" style="109"/>
    <col min="13553" max="13553" width="8.33203125" style="109" customWidth="1"/>
    <col min="13554" max="13554" width="72.5546875" style="109" customWidth="1"/>
    <col min="13555" max="13556" width="14" style="109" customWidth="1"/>
    <col min="13557" max="13808" width="11.44140625" style="109"/>
    <col min="13809" max="13809" width="8.33203125" style="109" customWidth="1"/>
    <col min="13810" max="13810" width="72.5546875" style="109" customWidth="1"/>
    <col min="13811" max="13812" width="14" style="109" customWidth="1"/>
    <col min="13813" max="14064" width="11.44140625" style="109"/>
    <col min="14065" max="14065" width="8.33203125" style="109" customWidth="1"/>
    <col min="14066" max="14066" width="72.5546875" style="109" customWidth="1"/>
    <col min="14067" max="14068" width="14" style="109" customWidth="1"/>
    <col min="14069" max="14320" width="11.44140625" style="109"/>
    <col min="14321" max="14321" width="8.33203125" style="109" customWidth="1"/>
    <col min="14322" max="14322" width="72.5546875" style="109" customWidth="1"/>
    <col min="14323" max="14324" width="14" style="109" customWidth="1"/>
    <col min="14325" max="14576" width="11.44140625" style="109"/>
    <col min="14577" max="14577" width="8.33203125" style="109" customWidth="1"/>
    <col min="14578" max="14578" width="72.5546875" style="109" customWidth="1"/>
    <col min="14579" max="14580" width="14" style="109" customWidth="1"/>
    <col min="14581" max="14832" width="11.44140625" style="109"/>
    <col min="14833" max="14833" width="8.33203125" style="109" customWidth="1"/>
    <col min="14834" max="14834" width="72.5546875" style="109" customWidth="1"/>
    <col min="14835" max="14836" width="14" style="109" customWidth="1"/>
    <col min="14837" max="15088" width="11.44140625" style="109"/>
    <col min="15089" max="15089" width="8.33203125" style="109" customWidth="1"/>
    <col min="15090" max="15090" width="72.5546875" style="109" customWidth="1"/>
    <col min="15091" max="15092" width="14" style="109" customWidth="1"/>
    <col min="15093" max="15344" width="11.44140625" style="109"/>
    <col min="15345" max="15345" width="8.33203125" style="109" customWidth="1"/>
    <col min="15346" max="15346" width="72.5546875" style="109" customWidth="1"/>
    <col min="15347" max="15348" width="14" style="109" customWidth="1"/>
    <col min="15349" max="15600" width="11.44140625" style="109"/>
    <col min="15601" max="15601" width="8.33203125" style="109" customWidth="1"/>
    <col min="15602" max="15602" width="72.5546875" style="109" customWidth="1"/>
    <col min="15603" max="15604" width="14" style="109" customWidth="1"/>
    <col min="15605" max="15856" width="11.44140625" style="109"/>
    <col min="15857" max="15857" width="8.33203125" style="109" customWidth="1"/>
    <col min="15858" max="15858" width="72.5546875" style="109" customWidth="1"/>
    <col min="15859" max="15860" width="14" style="109" customWidth="1"/>
    <col min="15861" max="16112" width="11.44140625" style="109"/>
    <col min="16113" max="16113" width="8.33203125" style="109" customWidth="1"/>
    <col min="16114" max="16114" width="72.5546875" style="109" customWidth="1"/>
    <col min="16115" max="16116" width="14" style="109" customWidth="1"/>
    <col min="16117" max="16384" width="11.44140625" style="109"/>
  </cols>
  <sheetData>
    <row r="1" spans="1:4" ht="17.399999999999999" x14ac:dyDescent="0.3">
      <c r="A1" s="165" t="s">
        <v>157</v>
      </c>
    </row>
    <row r="3" spans="1:4" s="110" customFormat="1" x14ac:dyDescent="0.3">
      <c r="A3" s="164" t="s">
        <v>141</v>
      </c>
      <c r="B3" s="163"/>
      <c r="C3" s="162" t="s">
        <v>140</v>
      </c>
      <c r="D3" s="162" t="s">
        <v>139</v>
      </c>
    </row>
    <row r="5" spans="1:4" ht="15.6" x14ac:dyDescent="0.3">
      <c r="A5" s="134" t="s">
        <v>156</v>
      </c>
    </row>
    <row r="6" spans="1:4" x14ac:dyDescent="0.25">
      <c r="A6" s="109" t="s">
        <v>138</v>
      </c>
      <c r="C6" s="161"/>
      <c r="D6" s="161"/>
    </row>
    <row r="7" spans="1:4" x14ac:dyDescent="0.25">
      <c r="A7" s="153" t="s">
        <v>79</v>
      </c>
      <c r="B7" s="153" t="s">
        <v>110</v>
      </c>
      <c r="C7" s="160" t="s">
        <v>137</v>
      </c>
      <c r="D7" s="160" t="s">
        <v>137</v>
      </c>
    </row>
    <row r="8" spans="1:4" x14ac:dyDescent="0.25">
      <c r="A8" s="132" t="s">
        <v>136</v>
      </c>
      <c r="B8" s="131" t="s">
        <v>135</v>
      </c>
      <c r="C8" s="140">
        <v>0</v>
      </c>
      <c r="D8" s="139">
        <v>0</v>
      </c>
    </row>
    <row r="9" spans="1:4" x14ac:dyDescent="0.25">
      <c r="A9" s="132" t="s">
        <v>134</v>
      </c>
      <c r="B9" s="131" t="s">
        <v>133</v>
      </c>
      <c r="C9" s="159">
        <v>0</v>
      </c>
      <c r="D9" s="159">
        <v>0</v>
      </c>
    </row>
    <row r="10" spans="1:4" x14ac:dyDescent="0.25">
      <c r="A10" s="132" t="s">
        <v>132</v>
      </c>
      <c r="B10" s="129" t="s">
        <v>131</v>
      </c>
      <c r="C10" s="140">
        <v>0</v>
      </c>
      <c r="D10" s="140">
        <v>0</v>
      </c>
    </row>
    <row r="11" spans="1:4" x14ac:dyDescent="0.25">
      <c r="A11" s="128" t="s">
        <v>130</v>
      </c>
      <c r="B11" s="127" t="s">
        <v>129</v>
      </c>
      <c r="C11" s="140">
        <v>0</v>
      </c>
      <c r="D11" s="140">
        <v>0</v>
      </c>
    </row>
    <row r="12" spans="1:4" x14ac:dyDescent="0.25">
      <c r="A12" s="128" t="s">
        <v>128</v>
      </c>
      <c r="B12" s="127" t="s">
        <v>127</v>
      </c>
      <c r="C12" s="140">
        <v>0</v>
      </c>
      <c r="D12" s="140">
        <v>0</v>
      </c>
    </row>
    <row r="13" spans="1:4" x14ac:dyDescent="0.25">
      <c r="A13" s="128" t="s">
        <v>126</v>
      </c>
      <c r="B13" s="127" t="s">
        <v>125</v>
      </c>
      <c r="C13" s="140">
        <v>0</v>
      </c>
      <c r="D13" s="140">
        <v>0</v>
      </c>
    </row>
    <row r="14" spans="1:4" x14ac:dyDescent="0.25">
      <c r="A14" s="128">
        <v>1479</v>
      </c>
      <c r="B14" s="127" t="s">
        <v>124</v>
      </c>
      <c r="C14" s="140">
        <v>0</v>
      </c>
      <c r="D14" s="140">
        <v>0</v>
      </c>
    </row>
    <row r="15" spans="1:4" x14ac:dyDescent="0.25">
      <c r="A15" s="128" t="s">
        <v>123</v>
      </c>
      <c r="B15" s="127" t="s">
        <v>122</v>
      </c>
      <c r="C15" s="140">
        <v>0</v>
      </c>
      <c r="D15" s="140">
        <v>0</v>
      </c>
    </row>
    <row r="16" spans="1:4" x14ac:dyDescent="0.25">
      <c r="A16" s="128" t="s">
        <v>121</v>
      </c>
      <c r="B16" s="127" t="s">
        <v>120</v>
      </c>
      <c r="C16" s="140">
        <v>0</v>
      </c>
      <c r="D16" s="140">
        <v>0</v>
      </c>
    </row>
    <row r="17" spans="1:4" x14ac:dyDescent="0.25">
      <c r="A17" s="128" t="s">
        <v>119</v>
      </c>
      <c r="B17" s="127" t="s">
        <v>118</v>
      </c>
      <c r="C17" s="140">
        <v>0</v>
      </c>
      <c r="D17" s="140">
        <v>0</v>
      </c>
    </row>
    <row r="18" spans="1:4" x14ac:dyDescent="0.25">
      <c r="A18" s="128" t="s">
        <v>117</v>
      </c>
      <c r="B18" s="127" t="s">
        <v>116</v>
      </c>
      <c r="C18" s="140">
        <v>0</v>
      </c>
      <c r="D18" s="140">
        <v>0</v>
      </c>
    </row>
    <row r="19" spans="1:4" x14ac:dyDescent="0.25">
      <c r="A19" s="128" t="s">
        <v>115</v>
      </c>
      <c r="B19" s="127" t="s">
        <v>155</v>
      </c>
      <c r="C19" s="140">
        <v>0</v>
      </c>
      <c r="D19" s="140">
        <v>0</v>
      </c>
    </row>
    <row r="20" spans="1:4" x14ac:dyDescent="0.25">
      <c r="A20" s="128" t="s">
        <v>114</v>
      </c>
      <c r="B20" s="127" t="s">
        <v>154</v>
      </c>
      <c r="C20" s="140">
        <v>0</v>
      </c>
      <c r="D20" s="140">
        <v>0</v>
      </c>
    </row>
    <row r="21" spans="1:4" x14ac:dyDescent="0.25">
      <c r="A21" s="128" t="s">
        <v>113</v>
      </c>
      <c r="B21" s="127" t="s">
        <v>153</v>
      </c>
      <c r="C21" s="159">
        <v>0</v>
      </c>
      <c r="D21" s="159">
        <v>0</v>
      </c>
    </row>
    <row r="22" spans="1:4" x14ac:dyDescent="0.25">
      <c r="A22" s="158" t="s">
        <v>152</v>
      </c>
      <c r="B22" s="157" t="s">
        <v>151</v>
      </c>
      <c r="C22" s="156">
        <v>0</v>
      </c>
      <c r="D22" s="156">
        <v>0</v>
      </c>
    </row>
    <row r="23" spans="1:4" x14ac:dyDescent="0.25">
      <c r="A23" s="155"/>
      <c r="B23" s="133" t="s">
        <v>112</v>
      </c>
      <c r="C23" s="154">
        <f>SUM(C8-C9,C10:C20,-C22,-C21)</f>
        <v>0</v>
      </c>
      <c r="D23" s="154">
        <f>SUM(D8-D9,D10:D20,-D22,-D21)</f>
        <v>0</v>
      </c>
    </row>
    <row r="25" spans="1:4" ht="15.6" x14ac:dyDescent="0.3">
      <c r="A25" s="134" t="s">
        <v>150</v>
      </c>
    </row>
    <row r="26" spans="1:4" x14ac:dyDescent="0.25">
      <c r="A26" s="153" t="s">
        <v>111</v>
      </c>
      <c r="B26" s="153" t="s">
        <v>110</v>
      </c>
      <c r="C26" s="117"/>
      <c r="D26" s="117"/>
    </row>
    <row r="27" spans="1:4" x14ac:dyDescent="0.25">
      <c r="A27" s="149" t="s">
        <v>109</v>
      </c>
      <c r="B27" s="131" t="s">
        <v>108</v>
      </c>
      <c r="C27" s="139">
        <v>0</v>
      </c>
      <c r="D27" s="139">
        <v>0</v>
      </c>
    </row>
    <row r="28" spans="1:4" x14ac:dyDescent="0.25">
      <c r="A28" s="152"/>
      <c r="B28" s="151" t="s">
        <v>107</v>
      </c>
      <c r="C28" s="150">
        <v>0</v>
      </c>
      <c r="D28" s="150">
        <v>0</v>
      </c>
    </row>
    <row r="29" spans="1:4" x14ac:dyDescent="0.25">
      <c r="A29" s="149" t="s">
        <v>106</v>
      </c>
      <c r="B29" s="148" t="s">
        <v>105</v>
      </c>
      <c r="C29" s="147">
        <v>0</v>
      </c>
      <c r="D29" s="147">
        <v>0</v>
      </c>
    </row>
    <row r="30" spans="1:4" x14ac:dyDescent="0.25">
      <c r="A30" s="246" t="s">
        <v>104</v>
      </c>
      <c r="B30" s="131" t="s">
        <v>103</v>
      </c>
      <c r="C30" s="139">
        <v>0</v>
      </c>
      <c r="D30" s="139">
        <v>0</v>
      </c>
    </row>
    <row r="31" spans="1:4" x14ac:dyDescent="0.25">
      <c r="A31" s="247"/>
      <c r="B31" s="127" t="s">
        <v>102</v>
      </c>
      <c r="C31" s="140">
        <v>0</v>
      </c>
      <c r="D31" s="139">
        <v>0</v>
      </c>
    </row>
    <row r="32" spans="1:4" x14ac:dyDescent="0.25">
      <c r="A32" s="247"/>
      <c r="B32" s="127" t="s">
        <v>101</v>
      </c>
      <c r="C32" s="118">
        <v>0</v>
      </c>
      <c r="D32" s="118">
        <v>0</v>
      </c>
    </row>
    <row r="33" spans="1:5" x14ac:dyDescent="0.25">
      <c r="A33" s="247"/>
      <c r="B33" s="127" t="s">
        <v>100</v>
      </c>
      <c r="C33" s="139">
        <v>0</v>
      </c>
      <c r="D33" s="139">
        <v>0</v>
      </c>
    </row>
    <row r="34" spans="1:5" x14ac:dyDescent="0.25">
      <c r="A34" s="247"/>
      <c r="B34" s="127" t="s">
        <v>99</v>
      </c>
      <c r="C34" s="140">
        <v>0</v>
      </c>
      <c r="D34" s="139">
        <v>0</v>
      </c>
    </row>
    <row r="35" spans="1:5" x14ac:dyDescent="0.25">
      <c r="A35" s="247"/>
      <c r="B35" s="127" t="s">
        <v>98</v>
      </c>
      <c r="C35" s="140">
        <v>0</v>
      </c>
      <c r="D35" s="139">
        <v>0</v>
      </c>
    </row>
    <row r="36" spans="1:5" x14ac:dyDescent="0.25">
      <c r="A36" s="247"/>
      <c r="B36" s="138" t="s">
        <v>97</v>
      </c>
      <c r="C36" s="137">
        <v>0</v>
      </c>
      <c r="D36" s="137">
        <v>0</v>
      </c>
    </row>
    <row r="37" spans="1:5" ht="14.4" x14ac:dyDescent="0.3">
      <c r="A37" s="146"/>
      <c r="B37" s="144" t="s">
        <v>92</v>
      </c>
      <c r="C37" s="143">
        <f>SUM(C30:C31,-C32,C33:C36)</f>
        <v>0</v>
      </c>
      <c r="D37" s="143">
        <f>SUM(D30:D31,-D32,D33:D36)</f>
        <v>0</v>
      </c>
      <c r="E37" s="142"/>
    </row>
    <row r="38" spans="1:5" x14ac:dyDescent="0.25">
      <c r="A38" s="248" t="s">
        <v>96</v>
      </c>
      <c r="B38" s="131" t="s">
        <v>95</v>
      </c>
      <c r="C38" s="139">
        <v>0</v>
      </c>
      <c r="D38" s="139">
        <v>0</v>
      </c>
    </row>
    <row r="39" spans="1:5" x14ac:dyDescent="0.25">
      <c r="A39" s="249"/>
      <c r="B39" s="127" t="s">
        <v>94</v>
      </c>
      <c r="C39" s="140">
        <v>0</v>
      </c>
      <c r="D39" s="140">
        <v>0</v>
      </c>
    </row>
    <row r="40" spans="1:5" x14ac:dyDescent="0.25">
      <c r="A40" s="250"/>
      <c r="B40" s="138" t="s">
        <v>93</v>
      </c>
      <c r="C40" s="137">
        <v>0</v>
      </c>
      <c r="D40" s="137">
        <v>0</v>
      </c>
    </row>
    <row r="41" spans="1:5" ht="14.4" x14ac:dyDescent="0.3">
      <c r="A41" s="145"/>
      <c r="B41" s="144" t="s">
        <v>92</v>
      </c>
      <c r="C41" s="143">
        <f>SUM(C38:C40)</f>
        <v>0</v>
      </c>
      <c r="D41" s="143">
        <f>SUM(D38:D40)</f>
        <v>0</v>
      </c>
      <c r="E41" s="142"/>
    </row>
    <row r="42" spans="1:5" ht="12.75" customHeight="1" x14ac:dyDescent="0.25">
      <c r="A42" s="251" t="s">
        <v>91</v>
      </c>
      <c r="B42" s="124" t="s">
        <v>90</v>
      </c>
      <c r="C42" s="139">
        <v>0</v>
      </c>
      <c r="D42" s="139">
        <v>0</v>
      </c>
    </row>
    <row r="43" spans="1:5" ht="12.75" customHeight="1" x14ac:dyDescent="0.25">
      <c r="A43" s="252"/>
      <c r="B43" s="141" t="s">
        <v>89</v>
      </c>
      <c r="C43" s="139">
        <v>0</v>
      </c>
      <c r="D43" s="139">
        <v>0</v>
      </c>
    </row>
    <row r="44" spans="1:5" ht="12.75" customHeight="1" x14ac:dyDescent="0.25">
      <c r="A44" s="252"/>
      <c r="B44" s="141" t="s">
        <v>88</v>
      </c>
      <c r="C44" s="140">
        <v>0</v>
      </c>
      <c r="D44" s="139">
        <v>0</v>
      </c>
    </row>
    <row r="45" spans="1:5" ht="12.75" customHeight="1" x14ac:dyDescent="0.25">
      <c r="A45" s="253"/>
      <c r="B45" s="138" t="s">
        <v>87</v>
      </c>
      <c r="C45" s="137">
        <v>0</v>
      </c>
      <c r="D45" s="137">
        <v>0</v>
      </c>
    </row>
    <row r="46" spans="1:5" x14ac:dyDescent="0.25">
      <c r="A46" s="248" t="s">
        <v>86</v>
      </c>
      <c r="B46" s="124" t="s">
        <v>85</v>
      </c>
      <c r="C46" s="139">
        <v>0</v>
      </c>
      <c r="D46" s="139">
        <v>0</v>
      </c>
    </row>
    <row r="47" spans="1:5" x14ac:dyDescent="0.25">
      <c r="A47" s="249"/>
      <c r="B47" s="141" t="s">
        <v>84</v>
      </c>
      <c r="C47" s="140">
        <v>0</v>
      </c>
      <c r="D47" s="139">
        <v>0</v>
      </c>
    </row>
    <row r="48" spans="1:5" x14ac:dyDescent="0.25">
      <c r="A48" s="249"/>
      <c r="B48" s="141" t="s">
        <v>83</v>
      </c>
      <c r="C48" s="140">
        <v>0</v>
      </c>
      <c r="D48" s="139">
        <v>0</v>
      </c>
    </row>
    <row r="49" spans="1:5" x14ac:dyDescent="0.25">
      <c r="A49" s="250"/>
      <c r="B49" s="138" t="s">
        <v>82</v>
      </c>
      <c r="C49" s="137">
        <v>0</v>
      </c>
      <c r="D49" s="137">
        <v>0</v>
      </c>
    </row>
    <row r="50" spans="1:5" x14ac:dyDescent="0.25">
      <c r="B50" s="133" t="s">
        <v>81</v>
      </c>
      <c r="C50" s="136">
        <f>C27-C28+C29+SUMIF(C37,"&gt;0",C37)+SUMIF(C41,"&gt;0",C41)+SUM(C42:C49)</f>
        <v>0</v>
      </c>
      <c r="D50" s="136">
        <f>D27-D28+D29+SUMIF(D37,"&gt;0",D37)+SUMIF(D41,"&gt;0",D41)+SUM(D42:D49)</f>
        <v>0</v>
      </c>
      <c r="E50" s="136"/>
    </row>
    <row r="51" spans="1:5" x14ac:dyDescent="0.25">
      <c r="C51" s="114"/>
      <c r="D51" s="114"/>
    </row>
    <row r="52" spans="1:5" ht="15.6" x14ac:dyDescent="0.3">
      <c r="A52" s="134" t="s">
        <v>149</v>
      </c>
      <c r="C52" s="114"/>
      <c r="D52" s="114"/>
    </row>
    <row r="53" spans="1:5" x14ac:dyDescent="0.25">
      <c r="B53" s="133" t="s">
        <v>80</v>
      </c>
      <c r="C53" s="135">
        <v>0</v>
      </c>
      <c r="D53" s="135">
        <v>0</v>
      </c>
    </row>
    <row r="54" spans="1:5" x14ac:dyDescent="0.25">
      <c r="C54" s="114"/>
      <c r="D54" s="114"/>
    </row>
    <row r="55" spans="1:5" ht="15.6" x14ac:dyDescent="0.3">
      <c r="A55" s="134" t="s">
        <v>148</v>
      </c>
    </row>
    <row r="56" spans="1:5" x14ac:dyDescent="0.25">
      <c r="A56" s="133" t="s">
        <v>79</v>
      </c>
      <c r="C56" s="114"/>
      <c r="D56" s="114"/>
    </row>
    <row r="57" spans="1:5" x14ac:dyDescent="0.25">
      <c r="A57" s="132" t="s">
        <v>78</v>
      </c>
      <c r="B57" s="131" t="s">
        <v>77</v>
      </c>
      <c r="C57" s="130">
        <v>0</v>
      </c>
      <c r="D57" s="130">
        <v>0</v>
      </c>
    </row>
    <row r="58" spans="1:5" x14ac:dyDescent="0.25">
      <c r="A58" s="128" t="s">
        <v>76</v>
      </c>
      <c r="B58" s="129" t="s">
        <v>75</v>
      </c>
      <c r="C58" s="126">
        <v>0</v>
      </c>
      <c r="D58" s="126">
        <v>0</v>
      </c>
    </row>
    <row r="59" spans="1:5" x14ac:dyDescent="0.25">
      <c r="A59" s="128" t="s">
        <v>74</v>
      </c>
      <c r="B59" s="127" t="s">
        <v>73</v>
      </c>
      <c r="C59" s="126">
        <v>0</v>
      </c>
      <c r="D59" s="126">
        <v>0</v>
      </c>
    </row>
    <row r="60" spans="1:5" x14ac:dyDescent="0.25">
      <c r="A60" s="128" t="s">
        <v>147</v>
      </c>
      <c r="B60" s="127" t="s">
        <v>146</v>
      </c>
      <c r="C60" s="126">
        <v>0</v>
      </c>
      <c r="D60" s="126">
        <v>0</v>
      </c>
    </row>
    <row r="61" spans="1:5" x14ac:dyDescent="0.25">
      <c r="A61" s="128" t="s">
        <v>145</v>
      </c>
      <c r="B61" s="127" t="s">
        <v>144</v>
      </c>
      <c r="C61" s="126">
        <v>0</v>
      </c>
      <c r="D61" s="126">
        <v>0</v>
      </c>
    </row>
    <row r="62" spans="1:5" x14ac:dyDescent="0.25">
      <c r="A62" s="128" t="s">
        <v>143</v>
      </c>
      <c r="B62" s="127" t="s">
        <v>142</v>
      </c>
      <c r="C62" s="126">
        <v>0</v>
      </c>
      <c r="D62" s="126">
        <v>0</v>
      </c>
    </row>
    <row r="63" spans="1:5" x14ac:dyDescent="0.25">
      <c r="A63" s="125"/>
      <c r="B63" s="124"/>
      <c r="C63" s="123">
        <f>SUM(C57:C59,C61:C62)</f>
        <v>0</v>
      </c>
      <c r="D63" s="123">
        <f>SUM(D57:D59,D61:D62)</f>
        <v>0</v>
      </c>
    </row>
    <row r="64" spans="1:5" x14ac:dyDescent="0.25">
      <c r="A64" s="120" t="s">
        <v>72</v>
      </c>
    </row>
    <row r="65" spans="1:4" x14ac:dyDescent="0.25">
      <c r="A65" s="120"/>
      <c r="B65" s="122" t="s">
        <v>71</v>
      </c>
      <c r="C65" s="121">
        <v>0</v>
      </c>
      <c r="D65" s="121">
        <v>0</v>
      </c>
    </row>
    <row r="66" spans="1:4" x14ac:dyDescent="0.25">
      <c r="A66" s="120"/>
      <c r="B66" s="119" t="s">
        <v>70</v>
      </c>
      <c r="C66" s="118">
        <v>0</v>
      </c>
      <c r="D66" s="118">
        <v>0</v>
      </c>
    </row>
    <row r="67" spans="1:4" x14ac:dyDescent="0.25">
      <c r="A67" s="120"/>
      <c r="B67" s="119" t="s">
        <v>69</v>
      </c>
      <c r="C67" s="118">
        <v>0</v>
      </c>
      <c r="D67" s="118">
        <v>0</v>
      </c>
    </row>
    <row r="68" spans="1:4" x14ac:dyDescent="0.25">
      <c r="A68" s="117"/>
      <c r="B68" s="116" t="s">
        <v>68</v>
      </c>
      <c r="C68" s="115">
        <v>0</v>
      </c>
      <c r="D68" s="115">
        <v>0</v>
      </c>
    </row>
    <row r="69" spans="1:4" x14ac:dyDescent="0.25">
      <c r="C69" s="114">
        <f>C63-SUM(C65:C68)</f>
        <v>0</v>
      </c>
      <c r="D69" s="114">
        <f>D63-SUM(D65:D68)</f>
        <v>0</v>
      </c>
    </row>
    <row r="71" spans="1:4" s="110" customFormat="1" ht="15.6" x14ac:dyDescent="0.3">
      <c r="A71" s="113" t="s">
        <v>67</v>
      </c>
      <c r="B71" s="112"/>
      <c r="C71" s="111">
        <f>C23+C50+C53+C69</f>
        <v>0</v>
      </c>
      <c r="D71" s="111">
        <f>D23+D50+D53+D69</f>
        <v>0</v>
      </c>
    </row>
  </sheetData>
  <sheetProtection selectLockedCells="1"/>
  <mergeCells count="4">
    <mergeCell ref="A30:A36"/>
    <mergeCell ref="A38:A40"/>
    <mergeCell ref="A42:A45"/>
    <mergeCell ref="A46:A49"/>
  </mergeCells>
  <pageMargins left="0.51181102362204722" right="0.31496062992125984" top="0.35433070866141736" bottom="0.35433070866141736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Calculadora</vt:lpstr>
      <vt:lpstr>Prorrateos</vt:lpstr>
      <vt:lpstr>Calculadora EH</vt:lpstr>
      <vt:lpstr>FIJAS Y MÍNIMAS</vt:lpstr>
      <vt:lpstr>RENTA 2023</vt:lpstr>
      <vt:lpstr>RENTA 2022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Juan Villa Arranz</cp:lastModifiedBy>
  <cp:lastPrinted>2023-01-23T08:08:34Z</cp:lastPrinted>
  <dcterms:created xsi:type="dcterms:W3CDTF">2021-05-26T08:43:48Z</dcterms:created>
  <dcterms:modified xsi:type="dcterms:W3CDTF">2025-01-08T08:14:38Z</dcterms:modified>
</cp:coreProperties>
</file>